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LZuRsTfwxx60yLSFphF3BUTMhHZjVpHES6eJ3Wd5/mBuJCd315nLuTZDgzmJXVZsVn1enyim35loijgveb337A==" workbookSaltValue="b3H7jmdRJuBW0qGwCdmnE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B23" i="13" s="1"/>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M14"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H23" i="20" s="1"/>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F11" i="17" s="1"/>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F18" i="17" s="1"/>
  <c r="AQ18" i="17" s="1"/>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E16" i="8" s="1"/>
  <c r="I16" i="7" s="1"/>
  <c r="AZ16" i="8"/>
  <c r="AY16" i="8"/>
  <c r="BG16" i="8" s="1"/>
  <c r="K16" i="7" s="1"/>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C16" i="14" s="1"/>
  <c r="K16" i="14" s="1"/>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K31" i="13" s="1"/>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A12" i="3"/>
  <c r="C12" i="3"/>
  <c r="D12" i="3"/>
  <c r="F12" i="3"/>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A20" i="3"/>
  <c r="C20" i="3"/>
  <c r="D20" i="3"/>
  <c r="F20" i="3"/>
  <c r="H20" i="3"/>
  <c r="A21" i="3"/>
  <c r="C21" i="3"/>
  <c r="D21" i="3"/>
  <c r="E21" i="3" s="1"/>
  <c r="F21" i="3"/>
  <c r="G21" i="3" s="1"/>
  <c r="H21" i="3"/>
  <c r="A22" i="3"/>
  <c r="C22" i="3"/>
  <c r="D22" i="3"/>
  <c r="F22" i="3"/>
  <c r="G22" i="3" s="1"/>
  <c r="H22" i="3"/>
  <c r="I22" i="3" s="1"/>
  <c r="A24" i="3"/>
  <c r="A25" i="3"/>
  <c r="C25" i="3"/>
  <c r="D25" i="3"/>
  <c r="E25" i="3" s="1"/>
  <c r="F25" i="3"/>
  <c r="G25" i="3" s="1"/>
  <c r="H25" i="3"/>
  <c r="I25" i="3" s="1"/>
  <c r="A26" i="3"/>
  <c r="A27" i="3"/>
  <c r="A28" i="3"/>
  <c r="C28" i="3"/>
  <c r="D28" i="3"/>
  <c r="F28" i="3"/>
  <c r="G28" i="3" s="1"/>
  <c r="H28" i="3"/>
  <c r="I28" i="3" s="1"/>
  <c r="A29" i="3"/>
  <c r="C29" i="3"/>
  <c r="D29" i="3"/>
  <c r="F29" i="3"/>
  <c r="G29" i="3" s="1"/>
  <c r="H29" i="3"/>
  <c r="A30" i="3"/>
  <c r="A31" i="3"/>
  <c r="A34" i="3"/>
  <c r="B2" i="10"/>
  <c r="B3" i="10"/>
  <c r="B4" i="10"/>
  <c r="A5" i="10"/>
  <c r="A8" i="10"/>
  <c r="A9" i="10"/>
  <c r="B9" i="10"/>
  <c r="C9" i="10"/>
  <c r="D9" i="10"/>
  <c r="E9" i="10"/>
  <c r="F9" i="10" s="1"/>
  <c r="H9" i="10"/>
  <c r="A10" i="10"/>
  <c r="B10" i="10"/>
  <c r="C10" i="10"/>
  <c r="D10" i="10"/>
  <c r="E10" i="10"/>
  <c r="H10" i="10"/>
  <c r="A11" i="10"/>
  <c r="B11" i="10"/>
  <c r="C11" i="10"/>
  <c r="D11" i="10"/>
  <c r="I11" i="10" s="1"/>
  <c r="K11" i="10" s="1"/>
  <c r="E11" i="10"/>
  <c r="F11" i="10" s="1"/>
  <c r="H11" i="10"/>
  <c r="A12" i="10"/>
  <c r="B12" i="10"/>
  <c r="C12" i="10"/>
  <c r="D12" i="10"/>
  <c r="I12" i="10" s="1"/>
  <c r="K12" i="10" s="1"/>
  <c r="E12" i="10"/>
  <c r="F12" i="10" s="1"/>
  <c r="H12" i="10"/>
  <c r="A13" i="10"/>
  <c r="B13" i="10"/>
  <c r="C13" i="10"/>
  <c r="D13" i="10"/>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E19" i="10"/>
  <c r="F19" i="10" s="1"/>
  <c r="H19" i="10"/>
  <c r="A20" i="10"/>
  <c r="B20" i="10"/>
  <c r="C20" i="10"/>
  <c r="D20" i="10"/>
  <c r="E20" i="10"/>
  <c r="A21" i="10"/>
  <c r="D21" i="10"/>
  <c r="I21" i="10" s="1"/>
  <c r="K21" i="10" s="1"/>
  <c r="E21" i="10"/>
  <c r="H21" i="10"/>
  <c r="A22" i="10"/>
  <c r="B22" i="10"/>
  <c r="C22" i="10"/>
  <c r="D22" i="10"/>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J10" i="2" s="1"/>
  <c r="A11" i="2"/>
  <c r="B11" i="2"/>
  <c r="H11" i="2" s="1"/>
  <c r="A12" i="2"/>
  <c r="B12" i="2"/>
  <c r="J12" i="2" s="1"/>
  <c r="A13" i="2"/>
  <c r="B13" i="2"/>
  <c r="H13" i="2" s="1"/>
  <c r="A14" i="2"/>
  <c r="B14" i="2"/>
  <c r="A15" i="2"/>
  <c r="A16" i="2"/>
  <c r="B16" i="2"/>
  <c r="J16" i="2" s="1"/>
  <c r="A17" i="2"/>
  <c r="B17" i="2"/>
  <c r="A18" i="2"/>
  <c r="B18" i="2"/>
  <c r="F18" i="2" s="1"/>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C26" i="3"/>
  <c r="AL31" i="8"/>
  <c r="R26" i="12"/>
  <c r="BD22" i="8"/>
  <c r="H13" i="10"/>
  <c r="P13" i="14"/>
  <c r="S26" i="12"/>
  <c r="BG29" i="8"/>
  <c r="BD28" i="8"/>
  <c r="H23" i="12"/>
  <c r="D26" i="7"/>
  <c r="E26" i="12"/>
  <c r="B23" i="7"/>
  <c r="BE28" i="13"/>
  <c r="BD9" i="13"/>
  <c r="BG21" i="13"/>
  <c r="BD28" i="13"/>
  <c r="AN23" i="17"/>
  <c r="AR23" i="11"/>
  <c r="B23" i="2"/>
  <c r="BG11" i="13"/>
  <c r="BF13" i="13"/>
  <c r="BE10" i="8"/>
  <c r="AS14" i="8"/>
  <c r="I13" i="14"/>
  <c r="AD26" i="20"/>
  <c r="AA30" i="20"/>
  <c r="AY30" i="19"/>
  <c r="BC30" i="19"/>
  <c r="AZ30" i="19"/>
  <c r="AZ14" i="19"/>
  <c r="AY26" i="19"/>
  <c r="BC26" i="19"/>
  <c r="BB14" i="19"/>
  <c r="BA23" i="19"/>
  <c r="BD23" i="19" s="1"/>
  <c r="BB30" i="19"/>
  <c r="AY14" i="19"/>
  <c r="BC14" i="19"/>
  <c r="AY23" i="19"/>
  <c r="BC23" i="19"/>
  <c r="U31" i="19"/>
  <c r="Y31" i="19"/>
  <c r="AO31" i="19"/>
  <c r="BA26" i="19"/>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AN33" i="21" s="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F26" i="12"/>
  <c r="G26" i="7"/>
  <c r="C31" i="3"/>
  <c r="BD29" i="8"/>
  <c r="BF29" i="8"/>
  <c r="O31" i="8"/>
  <c r="BD12" i="13"/>
  <c r="BG12" i="13"/>
  <c r="BC30" i="8"/>
  <c r="U31" i="8"/>
  <c r="BE13" i="8"/>
  <c r="AV30" i="21"/>
  <c r="AR30" i="21" s="1"/>
  <c r="AZ14" i="13"/>
  <c r="BD22" i="13"/>
  <c r="BG22" i="13"/>
  <c r="AW30" i="21"/>
  <c r="AP26" i="17"/>
  <c r="BG14" i="16"/>
  <c r="D14" i="7"/>
  <c r="X31" i="8"/>
  <c r="AM31" i="8"/>
  <c r="AW23" i="21"/>
  <c r="BC30" i="13"/>
  <c r="BD29" i="13"/>
  <c r="BE29" i="13"/>
  <c r="BE22" i="13"/>
  <c r="AP14" i="17"/>
  <c r="AV23" i="21"/>
  <c r="BE21" i="13"/>
  <c r="AR14" i="21"/>
  <c r="BJ14" i="16"/>
  <c r="AT26" i="20"/>
  <c r="AI14" i="20"/>
  <c r="BF13" i="8"/>
  <c r="J13" i="7" s="1"/>
  <c r="BD26" i="19"/>
  <c r="R14" i="12"/>
  <c r="AH31" i="8"/>
  <c r="BA26" i="13"/>
  <c r="AT30" i="20"/>
  <c r="P31" i="19"/>
  <c r="AM31" i="13"/>
  <c r="R13" i="17"/>
  <c r="BE11" i="13"/>
  <c r="BD21" i="8"/>
  <c r="H21" i="7" s="1"/>
  <c r="BG18" i="8"/>
  <c r="AZ26" i="13"/>
  <c r="BA30" i="13"/>
  <c r="BF28" i="13"/>
  <c r="BD11" i="13"/>
  <c r="BD18" i="8"/>
  <c r="H18" i="7" s="1"/>
  <c r="BM23" i="16"/>
  <c r="AZ30" i="13"/>
  <c r="AO14" i="20"/>
  <c r="AY14" i="13"/>
  <c r="BC23" i="13"/>
  <c r="BG25" i="13"/>
  <c r="Z31" i="13"/>
  <c r="BE19" i="8"/>
  <c r="I19" i="7" s="1"/>
  <c r="BF18" i="8"/>
  <c r="BF12" i="8"/>
  <c r="AN31" i="13"/>
  <c r="AB31" i="13"/>
  <c r="BC14" i="13"/>
  <c r="AR30" i="11"/>
  <c r="AG31" i="8"/>
  <c r="B14" i="7"/>
  <c r="AB31" i="19"/>
  <c r="AS26" i="21"/>
  <c r="BG29" i="13"/>
  <c r="AQ31" i="19"/>
  <c r="C26" i="7"/>
  <c r="AQ31" i="13"/>
  <c r="BD13" i="13"/>
  <c r="BF9" i="13"/>
  <c r="BE9" i="13"/>
  <c r="AT23" i="20"/>
  <c r="Q31" i="8"/>
  <c r="H26" i="12"/>
  <c r="E23" i="12"/>
  <c r="D23" i="7"/>
  <c r="F23" i="12"/>
  <c r="D23" i="12"/>
  <c r="ER31" i="8"/>
  <c r="N19" i="11"/>
  <c r="AE14" i="21"/>
  <c r="AP11" i="11"/>
  <c r="AB14" i="21"/>
  <c r="L16" i="14"/>
  <c r="AP20" i="11"/>
  <c r="AP9" i="11"/>
  <c r="I13" i="10"/>
  <c r="K13" i="10" s="1"/>
  <c r="Y22" i="11"/>
  <c r="Y18" i="11"/>
  <c r="Y10" i="11"/>
  <c r="L30" i="11"/>
  <c r="AC25" i="11"/>
  <c r="AC26" i="17"/>
  <c r="AG26" i="17"/>
  <c r="EL31" i="8"/>
  <c r="AT10" i="21"/>
  <c r="O14" i="21"/>
  <c r="J19" i="2"/>
  <c r="H22" i="7"/>
  <c r="K14" i="11"/>
  <c r="AC11" i="11"/>
  <c r="EQ31" i="8"/>
  <c r="AA30" i="11"/>
  <c r="M26" i="11"/>
  <c r="I29" i="3"/>
  <c r="I13" i="3"/>
  <c r="E11" i="12"/>
  <c r="AP12" i="11"/>
  <c r="J30" i="11"/>
  <c r="AC28" i="11"/>
  <c r="E9" i="12"/>
  <c r="AB26" i="17"/>
  <c r="EN31" i="8"/>
  <c r="F12" i="21"/>
  <c r="G10" i="3"/>
  <c r="I19" i="3"/>
  <c r="AN14" i="21"/>
  <c r="F21" i="2"/>
  <c r="N12" i="11"/>
  <c r="D12" i="2"/>
  <c r="C9" i="6"/>
  <c r="B22" i="6"/>
  <c r="AL22" i="11"/>
  <c r="L22" i="14"/>
  <c r="K19" i="7"/>
  <c r="C22" i="6"/>
  <c r="B9" i="6"/>
  <c r="AO22" i="11"/>
  <c r="I20" i="10"/>
  <c r="K20" i="10" s="1"/>
  <c r="I9" i="10"/>
  <c r="K9" i="10" s="1"/>
  <c r="I25" i="10"/>
  <c r="K25" i="10" s="1"/>
  <c r="G19" i="3"/>
  <c r="G12" i="3"/>
  <c r="G14" i="11"/>
  <c r="AO13" i="11"/>
  <c r="L14" i="11"/>
  <c r="AA26" i="11"/>
  <c r="AC17" i="11"/>
  <c r="I14" i="11"/>
  <c r="K23" i="11"/>
  <c r="J9" i="10"/>
  <c r="L9" i="10" s="1"/>
  <c r="E19" i="6"/>
  <c r="G13" i="3"/>
  <c r="E10" i="3"/>
  <c r="E22" i="6"/>
  <c r="E29" i="3"/>
  <c r="M30" i="11"/>
  <c r="I19" i="10"/>
  <c r="K19" i="10" s="1"/>
  <c r="J11" i="10"/>
  <c r="L11" i="10" s="1"/>
  <c r="G20" i="3"/>
  <c r="G16" i="3"/>
  <c r="AN9" i="11"/>
  <c r="D9" i="6"/>
  <c r="AP19" i="11"/>
  <c r="I20" i="3"/>
  <c r="I16" i="3"/>
  <c r="G26" i="11"/>
  <c r="AI26" i="11"/>
  <c r="G23" i="11"/>
  <c r="AE14" i="11"/>
  <c r="AI14" i="11"/>
  <c r="G12" i="12"/>
  <c r="D12" i="12"/>
  <c r="AS23" i="11"/>
  <c r="S14" i="11"/>
  <c r="AH14" i="11"/>
  <c r="AP18" i="11"/>
  <c r="AV14" i="11"/>
  <c r="AV23" i="11"/>
  <c r="AV26" i="11" s="1"/>
  <c r="AV30" i="11" s="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J19" i="10"/>
  <c r="L19" i="10" s="1"/>
  <c r="J12" i="10"/>
  <c r="L12" i="10" s="1"/>
  <c r="D22" i="6"/>
  <c r="AN22" i="11"/>
  <c r="E22" i="3"/>
  <c r="D14" i="5"/>
  <c r="B13" i="6"/>
  <c r="L13" i="14"/>
  <c r="I13" i="7"/>
  <c r="E21" i="6"/>
  <c r="AO21" i="11"/>
  <c r="D21" i="2"/>
  <c r="B21" i="6"/>
  <c r="AN21" i="11"/>
  <c r="Y28" i="11"/>
  <c r="W30" i="11"/>
  <c r="M14" i="11"/>
  <c r="AR19" i="11"/>
  <c r="M23" i="11"/>
  <c r="BA14" i="16"/>
  <c r="AR22" i="17"/>
  <c r="I11" i="3"/>
  <c r="H26" i="3"/>
  <c r="D10" i="6"/>
  <c r="AG26" i="11"/>
  <c r="AG14" i="11"/>
  <c r="D23" i="3"/>
  <c r="E23" i="3" s="1"/>
  <c r="E18" i="3"/>
  <c r="G30" i="11"/>
  <c r="L10" i="14"/>
  <c r="C10" i="6"/>
  <c r="I10" i="12" s="1"/>
  <c r="AL17" i="11"/>
  <c r="BI17" i="16"/>
  <c r="C17" i="6"/>
  <c r="AP29" i="11"/>
  <c r="AP22" i="11"/>
  <c r="AP13" i="11"/>
  <c r="AP10" i="11"/>
  <c r="H30" i="11"/>
  <c r="N29" i="11"/>
  <c r="BI21" i="16"/>
  <c r="H23" i="3"/>
  <c r="I23" i="3" s="1"/>
  <c r="D26" i="3"/>
  <c r="E26" i="3" s="1"/>
  <c r="X14" i="11"/>
  <c r="L21" i="14"/>
  <c r="AL10" i="11"/>
  <c r="AT14" i="11"/>
  <c r="N10" i="11"/>
  <c r="D21" i="6"/>
  <c r="AL21" i="11"/>
  <c r="E13" i="3"/>
  <c r="C21" i="6"/>
  <c r="C29" i="6"/>
  <c r="I29" i="12" s="1"/>
  <c r="E17" i="3"/>
  <c r="AN17" i="11"/>
  <c r="E12" i="3"/>
  <c r="Y20" i="11"/>
  <c r="AU14" i="11"/>
  <c r="AC18" i="11"/>
  <c r="D17" i="6"/>
  <c r="AA30" i="17"/>
  <c r="H23" i="11"/>
  <c r="I21" i="3"/>
  <c r="AC21" i="11"/>
  <c r="AN29" i="11"/>
  <c r="L23" i="11"/>
  <c r="AT23" i="11"/>
  <c r="AT26" i="11" s="1"/>
  <c r="AT30" i="11" s="1"/>
  <c r="AI23" i="11"/>
  <c r="AF14" i="21"/>
  <c r="AX14" i="21"/>
  <c r="AZ33" i="21"/>
  <c r="AS14" i="11"/>
  <c r="E14" i="11"/>
  <c r="AL19" i="11"/>
  <c r="Y19" i="11"/>
  <c r="Y29" i="11"/>
  <c r="N13" i="11"/>
  <c r="N9" i="11"/>
  <c r="AC16" i="11"/>
  <c r="H14" i="11"/>
  <c r="F25" i="2"/>
  <c r="AL25" i="11"/>
  <c r="F17" i="10"/>
  <c r="J17" i="10"/>
  <c r="L17" i="10" s="1"/>
  <c r="L9" i="14"/>
  <c r="J9" i="2"/>
  <c r="BI16" i="16"/>
  <c r="B16" i="6"/>
  <c r="Y12" i="11"/>
  <c r="E14" i="21"/>
  <c r="T10" i="21"/>
  <c r="AL14" i="21"/>
  <c r="AO16" i="11"/>
  <c r="H30" i="3"/>
  <c r="BI18" i="16"/>
  <c r="G17" i="3"/>
  <c r="B25" i="6"/>
  <c r="D17" i="2"/>
  <c r="Y25" i="11"/>
  <c r="W26" i="11"/>
  <c r="B29" i="6"/>
  <c r="F21" i="10"/>
  <c r="F10" i="10"/>
  <c r="E28" i="3"/>
  <c r="D26" i="14"/>
  <c r="AH23" i="11"/>
  <c r="D11" i="2"/>
  <c r="B19" i="6"/>
  <c r="AO10" i="11"/>
  <c r="B10" i="6"/>
  <c r="AL13" i="11"/>
  <c r="E13" i="6"/>
  <c r="I10" i="7"/>
  <c r="H10" i="2"/>
  <c r="C13" i="6"/>
  <c r="I13" i="12" s="1"/>
  <c r="AO19" i="11"/>
  <c r="F19" i="2"/>
  <c r="D19" i="6"/>
  <c r="J19" i="12" s="1"/>
  <c r="J19" i="7"/>
  <c r="H19" i="2"/>
  <c r="AN19" i="11"/>
  <c r="C19" i="6"/>
  <c r="I19" i="12" s="1"/>
  <c r="Y9" i="11"/>
  <c r="W14" i="11"/>
  <c r="F9" i="12"/>
  <c r="F12" i="2"/>
  <c r="AN10" i="11"/>
  <c r="D9" i="12"/>
  <c r="J22" i="2"/>
  <c r="AL29" i="11"/>
  <c r="C25" i="6"/>
  <c r="F10" i="2"/>
  <c r="AJ30" i="11"/>
  <c r="AH26" i="11"/>
  <c r="N11" i="11"/>
  <c r="AN13" i="11"/>
  <c r="G9" i="12"/>
  <c r="E10" i="6"/>
  <c r="N21" i="11"/>
  <c r="AC12" i="11"/>
  <c r="E19" i="3"/>
  <c r="I12" i="3"/>
  <c r="E12" i="12"/>
  <c r="Y21" i="11"/>
  <c r="Y17" i="11"/>
  <c r="AP25" i="11"/>
  <c r="J26" i="11"/>
  <c r="AP21" i="11"/>
  <c r="R26" i="11"/>
  <c r="X26" i="11"/>
  <c r="N20" i="11"/>
  <c r="E20" i="3"/>
  <c r="Y13" i="11"/>
  <c r="L26" i="11"/>
  <c r="AC26" i="11"/>
  <c r="E26" i="14"/>
  <c r="AH30" i="11"/>
  <c r="M26" i="2"/>
  <c r="I10" i="10"/>
  <c r="K10" i="10" s="1"/>
  <c r="I18" i="10"/>
  <c r="K18" i="10" s="1"/>
  <c r="I22" i="10"/>
  <c r="K22"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AQ13" i="11"/>
  <c r="AG31" i="19"/>
  <c r="AO23" i="20"/>
  <c r="BH31" i="13"/>
  <c r="AC31" i="13"/>
  <c r="Y31" i="13"/>
  <c r="Q31" i="13"/>
  <c r="F9" i="11"/>
  <c r="AQ19"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S20" i="14"/>
  <c r="V20" i="14" s="1"/>
  <c r="BH18" i="16"/>
  <c r="BE19" i="11"/>
  <c r="BI19" i="11"/>
  <c r="AP30" i="21"/>
  <c r="BL29" i="11"/>
  <c r="BE18" i="11"/>
  <c r="AM22" i="11"/>
  <c r="BE17" i="11"/>
  <c r="AP30" i="20"/>
  <c r="S18" i="16"/>
  <c r="AO21" i="17"/>
  <c r="AQ26" i="21"/>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M31" i="21"/>
  <c r="BC33" i="21"/>
  <c r="Z26" i="21"/>
  <c r="G14" i="21"/>
  <c r="H14" i="21"/>
  <c r="H31" i="21" s="1"/>
  <c r="AN14" i="20"/>
  <c r="AT18" i="20"/>
  <c r="F16" i="17"/>
  <c r="AQ16" i="17" s="1"/>
  <c r="W14" i="17"/>
  <c r="X14" i="17" s="1"/>
  <c r="O23" i="17"/>
  <c r="O31" i="17" s="1"/>
  <c r="Y14" i="17"/>
  <c r="AC26" i="16"/>
  <c r="AV14" i="16"/>
  <c r="AO26" i="16"/>
  <c r="X19" i="20"/>
  <c r="J23" i="20"/>
  <c r="AE23" i="20"/>
  <c r="AS21" i="20"/>
  <c r="AQ13" i="17"/>
  <c r="J14" i="17"/>
  <c r="AL14" i="17"/>
  <c r="AU14" i="17"/>
  <c r="Z14" i="17"/>
  <c r="T14" i="17"/>
  <c r="AQ21" i="17"/>
  <c r="G14" i="17"/>
  <c r="K14" i="17"/>
  <c r="R30" i="17"/>
  <c r="AB31" i="17"/>
  <c r="Y23" i="17"/>
  <c r="V18" i="16"/>
  <c r="E26" i="2"/>
  <c r="F26" i="2" s="1"/>
  <c r="AL9" i="11"/>
  <c r="AO18" i="11"/>
  <c r="K26" i="2"/>
  <c r="AN11" i="11"/>
  <c r="K23" i="2"/>
  <c r="C11" i="6"/>
  <c r="I11" i="12" s="1"/>
  <c r="AN18" i="11"/>
  <c r="J21" i="2"/>
  <c r="F9" i="2"/>
  <c r="B11" i="6"/>
  <c r="N26" i="2"/>
  <c r="L11" i="14"/>
  <c r="H16" i="2"/>
  <c r="M14" i="2"/>
  <c r="M23" i="2"/>
  <c r="N14" i="2"/>
  <c r="AO18" i="17"/>
  <c r="C18" i="6"/>
  <c r="AL11" i="11"/>
  <c r="L18" i="14"/>
  <c r="J29" i="2"/>
  <c r="AO11" i="11"/>
  <c r="I11" i="7"/>
  <c r="D18" i="2"/>
  <c r="AO9" i="11"/>
  <c r="L20" i="14"/>
  <c r="G26" i="2"/>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E11" i="6"/>
  <c r="AO28" i="11"/>
  <c r="I23" i="2"/>
  <c r="J23" i="2" s="1"/>
  <c r="J12" i="7"/>
  <c r="F30" i="17"/>
  <c r="F26" i="17"/>
  <c r="I26" i="3"/>
  <c r="AN20" i="11"/>
  <c r="AL20" i="11"/>
  <c r="Z14" i="11"/>
  <c r="AC10" i="11"/>
  <c r="AB14" i="11"/>
  <c r="AB23" i="11"/>
  <c r="AC22" i="11"/>
  <c r="AC29" i="11"/>
  <c r="AC30" i="11" s="1"/>
  <c r="AB30" i="11"/>
  <c r="AD14" i="11"/>
  <c r="H14" i="12"/>
  <c r="M31" i="8"/>
  <c r="F14" i="7"/>
  <c r="C14" i="7"/>
  <c r="T31" i="8"/>
  <c r="E14" i="7"/>
  <c r="AB31" i="8"/>
  <c r="AJ31" i="8"/>
  <c r="T14" i="12"/>
  <c r="BJ21" i="11"/>
  <c r="X17" i="20"/>
  <c r="S9" i="17"/>
  <c r="X9" i="17"/>
  <c r="BI21" i="11"/>
  <c r="BF29" i="11"/>
  <c r="V21" i="11"/>
  <c r="BH10" i="11"/>
  <c r="BE22" i="11"/>
  <c r="Q10" i="21"/>
  <c r="BG9" i="11"/>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F30" i="3"/>
  <c r="G30" i="3" s="1"/>
  <c r="S31" i="8"/>
  <c r="BE25" i="8"/>
  <c r="BD25" i="8"/>
  <c r="H25" i="7" s="1"/>
  <c r="BG25" i="8"/>
  <c r="K25" i="7" s="1"/>
  <c r="BA26" i="8"/>
  <c r="BF25" i="8"/>
  <c r="J25" i="7" s="1"/>
  <c r="AY23" i="8"/>
  <c r="BB26" i="13"/>
  <c r="BE26" i="13" s="1"/>
  <c r="S13" i="17"/>
  <c r="H33" i="11"/>
  <c r="J31" i="11"/>
  <c r="K26" i="11"/>
  <c r="K30" i="11" s="1"/>
  <c r="BB31" i="19"/>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9" i="8"/>
  <c r="K9" i="7" s="1"/>
  <c r="BI20" i="16"/>
  <c r="AZ30" i="8"/>
  <c r="BD9" i="8"/>
  <c r="H9" i="7" s="1"/>
  <c r="BF9" i="8"/>
  <c r="J9" i="7" s="1"/>
  <c r="BE9" i="8"/>
  <c r="I9" i="12" s="1"/>
  <c r="BA14" i="8"/>
  <c r="X12" i="17"/>
  <c r="AE14" i="17"/>
  <c r="BF30" i="13"/>
  <c r="AO20" i="11"/>
  <c r="BC26" i="13"/>
  <c r="BC31" i="13" s="1"/>
  <c r="BG30" i="13"/>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V10" i="16"/>
  <c r="L9" i="2"/>
  <c r="L21" i="2"/>
  <c r="AY14" i="11"/>
  <c r="T14" i="20"/>
  <c r="Q13" i="11"/>
  <c r="K10" i="12"/>
  <c r="T14" i="16"/>
  <c r="P25" i="11"/>
  <c r="AL14" i="11"/>
  <c r="Z23" i="16"/>
  <c r="AA23" i="16" s="1"/>
  <c r="BF14" i="16"/>
  <c r="BL19" i="16"/>
  <c r="AP14" i="16"/>
  <c r="AL31" i="16"/>
  <c r="BK14" i="16"/>
  <c r="O23" i="16"/>
  <c r="O26" i="16" s="1"/>
  <c r="R26" i="16"/>
  <c r="AA9" i="16"/>
  <c r="AB14" i="16"/>
  <c r="G14" i="16"/>
  <c r="BD14" i="16"/>
  <c r="AB26" i="16"/>
  <c r="BE14" i="16"/>
  <c r="F16" i="16"/>
  <c r="BL16" i="16" s="1"/>
  <c r="V25" i="16"/>
  <c r="V9" i="16"/>
  <c r="BL28" i="16"/>
  <c r="K14" i="2"/>
  <c r="AB33" i="21"/>
  <c r="H14" i="2"/>
  <c r="U14" i="16"/>
  <c r="AF14" i="16"/>
  <c r="AQ11" i="17"/>
  <c r="AA14" i="11"/>
  <c r="F11" i="11"/>
  <c r="AQ11" i="11" s="1"/>
  <c r="F11" i="16"/>
  <c r="BL11" i="16" s="1"/>
  <c r="E9" i="6"/>
  <c r="K9" i="12" s="1"/>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A23" i="13"/>
  <c r="BA31" i="13" s="1"/>
  <c r="BE16" i="13"/>
  <c r="BF17" i="13"/>
  <c r="AO32" i="20"/>
  <c r="U18" i="11"/>
  <c r="AW32" i="20"/>
  <c r="BM30" i="16" l="1"/>
  <c r="L31" i="11"/>
  <c r="AL28" i="11"/>
  <c r="J22" i="10"/>
  <c r="L22" i="10" s="1"/>
  <c r="F31" i="7"/>
  <c r="J20" i="12"/>
  <c r="BD17" i="8"/>
  <c r="H17" i="7" s="1"/>
  <c r="H31" i="12"/>
  <c r="J12" i="12"/>
  <c r="AM14" i="11"/>
  <c r="K29" i="7"/>
  <c r="H25" i="2"/>
  <c r="AO17" i="11"/>
  <c r="B17" i="6"/>
  <c r="AL18" i="11"/>
  <c r="AL16" i="11"/>
  <c r="L17" i="14"/>
  <c r="B14" i="6"/>
  <c r="D13" i="6"/>
  <c r="G32" i="11"/>
  <c r="BH20" i="16"/>
  <c r="V13" i="11"/>
  <c r="AP21" i="20"/>
  <c r="BL12" i="11"/>
  <c r="AP10" i="21"/>
  <c r="BH25" i="11"/>
  <c r="AY18" i="11"/>
  <c r="V11" i="11"/>
  <c r="X25" i="17"/>
  <c r="BJ11" i="11"/>
  <c r="BJ16" i="11"/>
  <c r="AO12" i="17"/>
  <c r="AM11" i="11"/>
  <c r="X11" i="17"/>
  <c r="X14" i="20"/>
  <c r="AM25" i="11"/>
  <c r="R12" i="14"/>
  <c r="AY29" i="11"/>
  <c r="BJ9" i="11"/>
  <c r="AM13" i="11"/>
  <c r="BF22" i="11"/>
  <c r="BF20" i="11"/>
  <c r="V25" i="11"/>
  <c r="AO9" i="17"/>
  <c r="BK18" i="11"/>
  <c r="P18" i="17"/>
  <c r="P23" i="17" s="1"/>
  <c r="P31" i="17" s="1"/>
  <c r="BH19" i="16"/>
  <c r="BG16" i="11"/>
  <c r="BJ13" i="11"/>
  <c r="BH11" i="16"/>
  <c r="BL18" i="16"/>
  <c r="BD12" i="21"/>
  <c r="BD14" i="21" s="1"/>
  <c r="BD31" i="21" s="1"/>
  <c r="BE17" i="13"/>
  <c r="J18" i="7"/>
  <c r="BF16" i="8"/>
  <c r="J16" i="7" s="1"/>
  <c r="G23" i="2"/>
  <c r="D18" i="6"/>
  <c r="J18" i="12" s="1"/>
  <c r="B18" i="6"/>
  <c r="K18" i="7"/>
  <c r="H18" i="2"/>
  <c r="C23" i="2"/>
  <c r="D23" i="2" s="1"/>
  <c r="AM17" i="11"/>
  <c r="W23" i="11"/>
  <c r="W31" i="11" s="1"/>
  <c r="E17" i="6"/>
  <c r="C16" i="6"/>
  <c r="I16" i="12" s="1"/>
  <c r="E16" i="6"/>
  <c r="E23" i="2"/>
  <c r="F23" i="2" s="1"/>
  <c r="AN16" i="11"/>
  <c r="D16" i="6"/>
  <c r="J16" i="12" s="1"/>
  <c r="BK9" i="11"/>
  <c r="Q9" i="11" s="1"/>
  <c r="BH21" i="16"/>
  <c r="BE11" i="11"/>
  <c r="V10" i="21"/>
  <c r="AA23" i="21"/>
  <c r="S19" i="14"/>
  <c r="V19" i="14" s="1"/>
  <c r="R29" i="14"/>
  <c r="S16" i="14"/>
  <c r="V16" i="14" s="1"/>
  <c r="T18" i="20"/>
  <c r="U10" i="21"/>
  <c r="X17" i="17"/>
  <c r="BK12" i="11"/>
  <c r="AM21" i="11"/>
  <c r="BJ29" i="11"/>
  <c r="BE10" i="11"/>
  <c r="AO16" i="17"/>
  <c r="BJ19"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S21" i="14"/>
  <c r="V21" i="14" s="1"/>
  <c r="R22" i="14"/>
  <c r="X22" i="20"/>
  <c r="AA12" i="21"/>
  <c r="R31" i="21"/>
  <c r="G33" i="21"/>
  <c r="Q23" i="17"/>
  <c r="Q31" i="17" s="1"/>
  <c r="AN25" i="11"/>
  <c r="BJ14" i="11"/>
  <c r="E30" i="2"/>
  <c r="BE14" i="13"/>
  <c r="Q25" i="11"/>
  <c r="K19" i="12"/>
  <c r="AO14" i="11"/>
  <c r="BF31" i="13"/>
  <c r="BF26" i="13"/>
  <c r="F14" i="12"/>
  <c r="J28" i="10"/>
  <c r="L28" i="10" s="1"/>
  <c r="J21" i="10"/>
  <c r="L21" i="10" s="1"/>
  <c r="L31" i="21"/>
  <c r="AR14" i="11"/>
  <c r="G23" i="7"/>
  <c r="F23" i="7"/>
  <c r="AY26" i="11"/>
  <c r="J25" i="10"/>
  <c r="L25" i="10" s="1"/>
  <c r="J18" i="10"/>
  <c r="L18" i="10" s="1"/>
  <c r="J13" i="10"/>
  <c r="L13" i="10" s="1"/>
  <c r="J28" i="7"/>
  <c r="AB31" i="21"/>
  <c r="AE31" i="21"/>
  <c r="BF23" i="19"/>
  <c r="BE30" i="19"/>
  <c r="AS14" i="21"/>
  <c r="BD31" i="16"/>
  <c r="J14" i="16"/>
  <c r="AA31" i="13"/>
  <c r="N31" i="13"/>
  <c r="I9" i="7"/>
  <c r="K16" i="12"/>
  <c r="F26" i="7"/>
  <c r="BB26" i="8"/>
  <c r="BE26" i="8" s="1"/>
  <c r="N30" i="11"/>
  <c r="Q30" i="11" s="1"/>
  <c r="AQ22" i="11"/>
  <c r="D26" i="6"/>
  <c r="F26" i="3"/>
  <c r="G26" i="3" s="1"/>
  <c r="E14" i="6"/>
  <c r="AO14" i="17"/>
  <c r="C14" i="6"/>
  <c r="H28" i="7"/>
  <c r="AS30" i="21"/>
  <c r="AT26" i="21"/>
  <c r="BC31" i="19"/>
  <c r="BF30" i="19"/>
  <c r="AR14" i="20"/>
  <c r="AZ14" i="16"/>
  <c r="BG14" i="13"/>
  <c r="AO31" i="13"/>
  <c r="C14" i="5"/>
  <c r="BI23" i="11"/>
  <c r="E14" i="12"/>
  <c r="AO29" i="11"/>
  <c r="B28" i="6"/>
  <c r="H33" i="12"/>
  <c r="P12" i="11"/>
  <c r="H33" i="21"/>
  <c r="G31" i="21"/>
  <c r="AT23" i="21"/>
  <c r="H31" i="20"/>
  <c r="O31" i="20"/>
  <c r="V31" i="20"/>
  <c r="R31" i="19"/>
  <c r="AL31" i="19"/>
  <c r="AR31" i="19"/>
  <c r="EL31" i="19"/>
  <c r="AO26" i="20"/>
  <c r="AR26" i="20"/>
  <c r="AO30" i="20"/>
  <c r="AQ23" i="20"/>
  <c r="ER31" i="19"/>
  <c r="AM26" i="17"/>
  <c r="J30" i="17"/>
  <c r="Q26" i="16"/>
  <c r="AU26" i="16"/>
  <c r="BA26" i="16"/>
  <c r="AZ26" i="16"/>
  <c r="BF23" i="13"/>
  <c r="BD14" i="13"/>
  <c r="BE30" i="13"/>
  <c r="BM31" i="13"/>
  <c r="AD31" i="13"/>
  <c r="AY26" i="13"/>
  <c r="BD10" i="13"/>
  <c r="Z26" i="16"/>
  <c r="Q20" i="11"/>
  <c r="BT33" i="17"/>
  <c r="J13" i="12"/>
  <c r="C30" i="5"/>
  <c r="G30" i="12"/>
  <c r="BG30" i="16"/>
  <c r="BF11" i="8"/>
  <c r="J11" i="7" s="1"/>
  <c r="BD11" i="8"/>
  <c r="H11" i="7" s="1"/>
  <c r="BG17" i="8"/>
  <c r="K17" i="7" s="1"/>
  <c r="AL26" i="17"/>
  <c r="AT31" i="8"/>
  <c r="AG14" i="21"/>
  <c r="AG31" i="21" s="1"/>
  <c r="P13" i="11"/>
  <c r="AP16" i="11"/>
  <c r="J16" i="10"/>
  <c r="L16" i="10" s="1"/>
  <c r="E18" i="6"/>
  <c r="G32" i="21"/>
  <c r="AL33" i="21"/>
  <c r="AF31" i="21"/>
  <c r="AN31" i="21"/>
  <c r="BB33" i="21"/>
  <c r="R31" i="20"/>
  <c r="AN33" i="20"/>
  <c r="F18" i="20"/>
  <c r="AS18" i="20" s="1"/>
  <c r="AB23" i="20"/>
  <c r="AS19" i="20"/>
  <c r="L23" i="20"/>
  <c r="L26" i="20" s="1"/>
  <c r="AJ23" i="20"/>
  <c r="AJ31" i="20" s="1"/>
  <c r="W32" i="20"/>
  <c r="AH32" i="20"/>
  <c r="G30" i="14"/>
  <c r="O10" i="11"/>
  <c r="AM32" i="20"/>
  <c r="AX32" i="20"/>
  <c r="AQ32" i="21"/>
  <c r="AJ32" i="20"/>
  <c r="Z32" i="20"/>
  <c r="S32" i="20"/>
  <c r="T32" i="20"/>
  <c r="G14" i="14"/>
  <c r="F32" i="20"/>
  <c r="AG32" i="20"/>
  <c r="O18" i="11"/>
  <c r="Y32" i="20"/>
  <c r="AD32" i="20"/>
  <c r="AE32" i="20"/>
  <c r="H32" i="20"/>
  <c r="I32" i="20"/>
  <c r="AV32" i="20"/>
  <c r="Q32" i="20"/>
  <c r="AB32" i="20"/>
  <c r="O32" i="20"/>
  <c r="AC32" i="20"/>
  <c r="AA32" i="20"/>
  <c r="R32" i="20"/>
  <c r="AL32" i="20"/>
  <c r="L32" i="20"/>
  <c r="AP32" i="20"/>
  <c r="E32" i="20"/>
  <c r="AF32" i="20"/>
  <c r="G23" i="14"/>
  <c r="U10" i="11"/>
  <c r="W32" i="21"/>
  <c r="K32" i="20"/>
  <c r="P32" i="20"/>
  <c r="U17" i="11"/>
  <c r="AI32" i="20"/>
  <c r="AU32" i="20"/>
  <c r="T32" i="21"/>
  <c r="O17" i="11"/>
  <c r="AQ32" i="20"/>
  <c r="AK32" i="20"/>
  <c r="N32" i="20"/>
  <c r="X32" i="20"/>
  <c r="J32" i="20"/>
  <c r="G26" i="14"/>
  <c r="U12" i="11"/>
  <c r="O12" i="11"/>
  <c r="C31" i="2" l="1"/>
  <c r="D31" i="2" s="1"/>
  <c r="B23" i="6"/>
  <c r="AL23" i="11"/>
  <c r="BA33" i="16"/>
  <c r="BA31" i="16"/>
  <c r="K17" i="12"/>
  <c r="AN31" i="20"/>
  <c r="BE23" i="19"/>
  <c r="BE14" i="19"/>
  <c r="M31" i="19"/>
  <c r="AC31" i="19"/>
  <c r="AK31" i="19"/>
  <c r="AS31" i="19"/>
  <c r="AP23" i="20"/>
  <c r="AJ31" i="19"/>
  <c r="AP31" i="19"/>
  <c r="Q31" i="19"/>
  <c r="X31" i="19"/>
  <c r="AF31" i="19"/>
  <c r="AN31" i="19"/>
  <c r="AM31" i="19"/>
  <c r="BI31" i="19"/>
  <c r="AY31" i="19"/>
  <c r="AC23" i="20"/>
  <c r="G23" i="20"/>
  <c r="G32" i="20" s="1"/>
  <c r="Y23" i="20"/>
  <c r="AG23" i="20"/>
  <c r="AM14" i="21"/>
  <c r="K23" i="20"/>
  <c r="S31" i="19"/>
  <c r="AA31" i="19"/>
  <c r="AI31" i="19"/>
  <c r="BK31" i="19"/>
  <c r="CL31" i="19"/>
  <c r="P31" i="20"/>
  <c r="AB31" i="20"/>
  <c r="AS20" i="20"/>
  <c r="Z23" i="20"/>
  <c r="Z31" i="20" s="1"/>
  <c r="E23" i="20"/>
  <c r="AL23" i="20"/>
  <c r="AA23" i="20"/>
  <c r="T20" i="20"/>
  <c r="AT30" i="16"/>
  <c r="Q14" i="16"/>
  <c r="AK31" i="13"/>
  <c r="K31" i="13"/>
  <c r="BG13" i="13"/>
  <c r="BE20" i="13"/>
  <c r="BF21" i="13"/>
  <c r="BF29" i="13"/>
  <c r="BE10" i="13"/>
  <c r="BD30" i="13"/>
  <c r="AI31" i="13"/>
  <c r="BF20" i="13"/>
  <c r="E33" i="21"/>
  <c r="B31" i="7"/>
  <c r="C23" i="6"/>
  <c r="N26" i="11"/>
  <c r="Q26" i="11" s="1"/>
  <c r="BT23" i="16"/>
  <c r="Q16" i="11"/>
  <c r="J9" i="12"/>
  <c r="D30" i="5"/>
  <c r="BG22" i="8"/>
  <c r="K22" i="7" s="1"/>
  <c r="S23" i="11"/>
  <c r="G14" i="7"/>
  <c r="AC30" i="16"/>
  <c r="I30" i="16"/>
  <c r="AM30" i="17"/>
  <c r="AS23" i="16"/>
  <c r="EM31" i="8"/>
  <c r="AY33" i="21"/>
  <c r="R23" i="17"/>
  <c r="K26" i="17"/>
  <c r="AU26" i="21"/>
  <c r="AK30" i="11"/>
  <c r="AG30" i="11"/>
  <c r="AW26" i="21"/>
  <c r="D26" i="12"/>
  <c r="D33" i="12" s="1"/>
  <c r="J21" i="7"/>
  <c r="BD19" i="8"/>
  <c r="H19" i="7" s="1"/>
  <c r="BE18" i="8"/>
  <c r="I18" i="7" s="1"/>
  <c r="C18" i="14"/>
  <c r="K18" i="14" s="1"/>
  <c r="AQ25" i="11"/>
  <c r="AN26" i="16"/>
  <c r="AN31" i="16" s="1"/>
  <c r="AH26" i="17"/>
  <c r="AS30" i="16"/>
  <c r="BE30" i="16"/>
  <c r="AZ23" i="16"/>
  <c r="AZ31" i="16" s="1"/>
  <c r="AL23" i="17"/>
  <c r="J23" i="16"/>
  <c r="J30" i="16"/>
  <c r="BQ23" i="16"/>
  <c r="BQ26" i="16" s="1"/>
  <c r="F9" i="16"/>
  <c r="BL9" i="16" s="1"/>
  <c r="AD14" i="16"/>
  <c r="AD31" i="16" s="1"/>
  <c r="I30" i="17"/>
  <c r="AQ10" i="17"/>
  <c r="N14" i="21"/>
  <c r="M30" i="2"/>
  <c r="C20" i="14"/>
  <c r="K20" i="14" s="1"/>
  <c r="C25" i="14"/>
  <c r="K25" i="14" s="1"/>
  <c r="F30" i="14"/>
  <c r="D23" i="14"/>
  <c r="D31" i="14" s="1"/>
  <c r="D14" i="14"/>
  <c r="F12" i="12"/>
  <c r="F30" i="11"/>
  <c r="AQ30" i="11" s="1"/>
  <c r="AQ28" i="11"/>
  <c r="P17" i="11"/>
  <c r="Q17" i="11"/>
  <c r="AA31" i="11"/>
  <c r="BG23" i="11"/>
  <c r="P20" i="11"/>
  <c r="AB31" i="11"/>
  <c r="Y14" i="11"/>
  <c r="AE30" i="11"/>
  <c r="AI30" i="11"/>
  <c r="AJ26" i="11"/>
  <c r="AE26" i="11"/>
  <c r="AK26" i="11"/>
  <c r="AP17" i="11"/>
  <c r="Z23" i="11"/>
  <c r="AC9" i="11"/>
  <c r="F23" i="11"/>
  <c r="I31" i="11"/>
  <c r="AC23" i="11"/>
  <c r="F26" i="11"/>
  <c r="AQ26" i="11" s="1"/>
  <c r="B30" i="5"/>
  <c r="D26" i="5"/>
  <c r="C23" i="5"/>
  <c r="B14" i="5"/>
  <c r="J10" i="10"/>
  <c r="L10" i="10" s="1"/>
  <c r="K31" i="2"/>
  <c r="L19" i="14"/>
  <c r="F30" i="2"/>
  <c r="C17" i="14"/>
  <c r="K17" i="14" s="1"/>
  <c r="F26" i="14"/>
  <c r="AX30" i="11"/>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K31" i="17"/>
  <c r="AJ23" i="11"/>
  <c r="BT26" i="16"/>
  <c r="D23" i="5"/>
  <c r="D31" i="5" s="1"/>
  <c r="P18" i="11"/>
  <c r="D25" i="2"/>
  <c r="E25" i="6"/>
  <c r="K25" i="12" s="1"/>
  <c r="AO25" i="11"/>
  <c r="F17" i="2"/>
  <c r="H17" i="2"/>
  <c r="J17" i="2"/>
  <c r="F14" i="3"/>
  <c r="E9" i="3"/>
  <c r="G9" i="3"/>
  <c r="T23" i="16"/>
  <c r="AO23" i="11"/>
  <c r="BK23" i="11"/>
  <c r="W23" i="17"/>
  <c r="X23" i="17" s="1"/>
  <c r="G30" i="2"/>
  <c r="I30" i="2"/>
  <c r="B26" i="5"/>
  <c r="AP30" i="17"/>
  <c r="I30" i="3"/>
  <c r="E30" i="12"/>
  <c r="BF22" i="8"/>
  <c r="J22" i="7" s="1"/>
  <c r="AU23" i="11"/>
  <c r="AC14" i="11"/>
  <c r="AC31" i="11" s="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B31" i="16" s="1"/>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F14" i="16" s="1"/>
  <c r="K14" i="21"/>
  <c r="K31" i="21" s="1"/>
  <c r="U23" i="16"/>
  <c r="U31" i="16" s="1"/>
  <c r="L14" i="16"/>
  <c r="Y26" i="11"/>
  <c r="AP14" i="11"/>
  <c r="K22" i="12"/>
  <c r="BC14" i="8"/>
  <c r="AM30" i="16"/>
  <c r="AK30" i="17"/>
  <c r="G23" i="17"/>
  <c r="AR23" i="17"/>
  <c r="N14" i="16"/>
  <c r="N31" i="16" s="1"/>
  <c r="V14" i="17"/>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AJ33" i="11" s="1"/>
  <c r="F23" i="14"/>
  <c r="W31" i="16"/>
  <c r="AP31" i="16"/>
  <c r="AO31" i="16"/>
  <c r="Y31" i="20"/>
  <c r="BE21" i="8"/>
  <c r="I21" i="7" s="1"/>
  <c r="E23" i="14"/>
  <c r="C19" i="14"/>
  <c r="F14" i="14"/>
  <c r="Z30" i="16"/>
  <c r="AA26" i="16"/>
  <c r="N23" i="11"/>
  <c r="Q23" i="11" s="1"/>
  <c r="AV31" i="11"/>
  <c r="E33" i="12"/>
  <c r="BG33" i="16"/>
  <c r="J31" i="8"/>
  <c r="AN31" i="17" s="1"/>
  <c r="C9" i="14"/>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V31" i="17"/>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M32" i="20"/>
  <c r="D32" i="12"/>
  <c r="BI32" i="16"/>
  <c r="AN32" i="20"/>
  <c r="AS32" i="11"/>
  <c r="AD32" i="21"/>
  <c r="I21" i="12" l="1"/>
  <c r="AB33" i="16"/>
  <c r="AV33" i="11"/>
  <c r="E31" i="14"/>
  <c r="BJ31" i="11"/>
  <c r="F31" i="14"/>
  <c r="C26" i="14"/>
  <c r="E31" i="21"/>
  <c r="BE23" i="8"/>
  <c r="I23" i="7" s="1"/>
  <c r="AX33" i="21"/>
  <c r="AQ31" i="21"/>
  <c r="AK31" i="17"/>
  <c r="AR31" i="16"/>
  <c r="BB32" i="16"/>
  <c r="V26" i="16" l="1"/>
  <c r="AG31" i="11"/>
  <c r="AJ33" i="17"/>
  <c r="BQ30" i="16"/>
  <c r="AH31" i="17"/>
  <c r="AH33" i="17"/>
  <c r="F23" i="16"/>
  <c r="F33" i="16" s="1"/>
  <c r="BH14" i="11"/>
  <c r="P28" i="11"/>
  <c r="AD32" i="11"/>
  <c r="U32" i="21"/>
  <c r="AA32" i="21"/>
  <c r="Y32" i="17"/>
  <c r="AS32" i="17"/>
  <c r="BC32" i="21"/>
  <c r="AJ32" i="21"/>
  <c r="AV32" i="11"/>
  <c r="AH32" i="16"/>
  <c r="AT32" i="20"/>
  <c r="AU32" i="21"/>
  <c r="AC32" i="21"/>
  <c r="AF32" i="16"/>
  <c r="X32" i="11"/>
  <c r="H32" i="12"/>
  <c r="G32" i="12"/>
  <c r="BG32" i="16"/>
  <c r="R32" i="17"/>
  <c r="M32" i="21"/>
  <c r="AG32" i="11"/>
  <c r="AA32" i="17"/>
  <c r="R32" i="16"/>
  <c r="AO32" i="16"/>
  <c r="X32" i="17"/>
  <c r="AR32" i="17"/>
  <c r="H32" i="21"/>
  <c r="F32" i="11"/>
  <c r="AX32" i="11"/>
  <c r="AL32" i="17"/>
  <c r="AS32" i="21"/>
  <c r="H32" i="11"/>
  <c r="F32" i="21"/>
  <c r="AR32" i="16"/>
  <c r="AL32" i="11"/>
  <c r="AL32" i="21"/>
  <c r="AZ32" i="16"/>
  <c r="AN32" i="21"/>
  <c r="AM32" i="16"/>
  <c r="AB32" i="21"/>
  <c r="BA32" i="16"/>
  <c r="AJ32" i="16"/>
  <c r="BM32" i="16"/>
  <c r="BH32" i="16"/>
  <c r="AN32" i="11"/>
  <c r="AV32" i="21"/>
  <c r="BO32" i="16"/>
  <c r="AJ32" i="11"/>
  <c r="AY32" i="11"/>
  <c r="V32" i="11"/>
  <c r="AV32" i="16"/>
  <c r="K32" i="12"/>
  <c r="AT32" i="11"/>
  <c r="AK32" i="11"/>
  <c r="AT32" i="16"/>
  <c r="I32" i="16"/>
  <c r="W32" i="11"/>
  <c r="I32" i="17"/>
  <c r="AD32" i="17"/>
  <c r="K32" i="21"/>
  <c r="AB32" i="17"/>
  <c r="Y32" i="16"/>
  <c r="N32" i="16"/>
  <c r="E32" i="11"/>
  <c r="AN32" i="16"/>
  <c r="BN32" i="16"/>
  <c r="U32" i="20"/>
  <c r="AA32" i="11"/>
  <c r="V32" i="16"/>
  <c r="AK32" i="17"/>
  <c r="AL32" i="16"/>
  <c r="BK32" i="16"/>
  <c r="J32" i="11"/>
  <c r="E32" i="21"/>
  <c r="AO32" i="17"/>
  <c r="AR32" i="21"/>
  <c r="AE32" i="11"/>
  <c r="AM32" i="11"/>
  <c r="AM32" i="17"/>
  <c r="AC32" i="16"/>
  <c r="K32" i="17"/>
  <c r="AH32" i="11"/>
  <c r="K32" i="16"/>
  <c r="U32" i="16"/>
  <c r="O32" i="17"/>
  <c r="Q32" i="17"/>
  <c r="I32" i="11"/>
  <c r="AB32" i="11"/>
  <c r="H32" i="17"/>
  <c r="S32" i="21"/>
  <c r="AE32" i="17"/>
  <c r="BF32" i="16"/>
  <c r="R32" i="11"/>
  <c r="AI32" i="17"/>
  <c r="AU32" i="11"/>
  <c r="AT32" i="17"/>
  <c r="BB32" i="21"/>
  <c r="BP32" i="16"/>
  <c r="J32" i="17"/>
  <c r="AP32" i="17"/>
  <c r="AY32" i="16"/>
  <c r="L32" i="17"/>
  <c r="W32" i="17"/>
  <c r="Z32" i="21"/>
  <c r="L32" i="16"/>
  <c r="V32" i="20"/>
  <c r="AK32" i="16"/>
  <c r="AG32" i="16"/>
  <c r="AU32" i="16"/>
  <c r="BD32" i="21"/>
  <c r="S32" i="16"/>
  <c r="AB32" i="16"/>
  <c r="AQ32" i="16"/>
  <c r="J32" i="21"/>
  <c r="S32" i="11"/>
  <c r="AA32" i="16"/>
  <c r="T32" i="17"/>
  <c r="S32" i="17"/>
  <c r="J32" i="12"/>
  <c r="P32" i="21"/>
  <c r="BE32" i="16"/>
  <c r="O32" i="16"/>
  <c r="AF32" i="11"/>
  <c r="X32" i="16"/>
  <c r="O32" i="21"/>
  <c r="L32" i="21"/>
  <c r="E32" i="16"/>
  <c r="AP32" i="16"/>
  <c r="F32" i="16"/>
  <c r="AI32" i="11"/>
  <c r="Q32" i="21"/>
  <c r="AJ32" i="17"/>
  <c r="P32" i="16"/>
  <c r="Z32" i="17"/>
  <c r="N32" i="21"/>
  <c r="AS32" i="16"/>
  <c r="K32" i="11"/>
  <c r="AE32" i="21"/>
  <c r="AX32" i="16"/>
  <c r="AX32" i="21"/>
  <c r="Y32" i="11"/>
  <c r="AD32" i="16"/>
  <c r="AG32" i="21"/>
  <c r="M32" i="17"/>
  <c r="M32" i="16"/>
  <c r="AO32" i="21"/>
  <c r="AP32" i="21"/>
  <c r="AW32" i="16"/>
  <c r="AI32" i="16"/>
  <c r="Z32" i="16"/>
  <c r="T32" i="11"/>
  <c r="BD32" i="16"/>
  <c r="T32" i="16"/>
  <c r="AF32" i="21"/>
  <c r="AV32" i="17"/>
  <c r="V32" i="17"/>
  <c r="E32" i="12"/>
  <c r="AU32" i="17"/>
  <c r="BQ32" i="16"/>
  <c r="AH32" i="21"/>
  <c r="AW32" i="21"/>
  <c r="F32" i="12"/>
  <c r="AF32" i="17"/>
  <c r="Z32" i="11"/>
  <c r="W32" i="16"/>
  <c r="H32" i="16"/>
  <c r="P32" i="17"/>
  <c r="I32" i="21"/>
  <c r="Q32" i="16"/>
  <c r="AH32" i="17"/>
  <c r="F32" i="17"/>
  <c r="L32" i="11"/>
  <c r="U32" i="11"/>
  <c r="Y32" i="21"/>
  <c r="R32" i="21"/>
  <c r="BJ32" i="16"/>
  <c r="M32" i="11"/>
  <c r="AE32" i="16"/>
  <c r="AN32" i="17"/>
  <c r="AI32" i="21"/>
  <c r="AM32" i="21"/>
  <c r="O32" i="11"/>
  <c r="Q32" i="11"/>
  <c r="AK32" i="21"/>
  <c r="AC32" i="17"/>
  <c r="U32" i="17"/>
  <c r="E32" i="17"/>
  <c r="AC32" i="11"/>
  <c r="X32" i="21"/>
  <c r="AR32" i="11"/>
  <c r="P32" i="11"/>
  <c r="AO32" i="11"/>
  <c r="AG32" i="17"/>
  <c r="AR32" i="20"/>
  <c r="V32" i="21"/>
  <c r="J32" i="16"/>
  <c r="N32" i="17"/>
  <c r="I32" i="12"/>
  <c r="BC32" i="16"/>
  <c r="BQ31" i="16" l="1"/>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I31" i="3" s="1"/>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31" i="8" s="1"/>
  <c r="BD23" i="8"/>
  <c r="H23" i="7" s="1"/>
  <c r="V23" i="16"/>
  <c r="Q11" i="11"/>
  <c r="P11" i="11"/>
  <c r="P19" i="11"/>
  <c r="BL23" i="11"/>
  <c r="BL31" i="11" s="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N32" i="11"/>
  <c r="V31" i="16" l="1"/>
  <c r="G31" i="3"/>
  <c r="BF31" i="11"/>
  <c r="F31" i="17"/>
  <c r="BT33" i="16"/>
  <c r="BT31" i="16"/>
  <c r="BG31" i="8"/>
  <c r="K31" i="7" s="1"/>
  <c r="H31" i="2"/>
  <c r="C31" i="14"/>
  <c r="J30" i="12"/>
  <c r="X26" i="17"/>
  <c r="W30" i="17"/>
  <c r="BF31" i="8"/>
  <c r="AQ31" i="17"/>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T33" i="11" s="1"/>
  <c r="BP33" i="16"/>
  <c r="I30" i="12"/>
  <c r="I33" i="12" s="1"/>
  <c r="S31" i="11"/>
  <c r="T31" i="11" s="1"/>
  <c r="K23" i="7"/>
  <c r="K23" i="12"/>
  <c r="E33" i="16"/>
  <c r="V26" i="11"/>
  <c r="U30" i="11"/>
  <c r="K31" i="12" l="1"/>
  <c r="W33" i="20"/>
  <c r="I31" i="7"/>
  <c r="X31" i="20"/>
  <c r="W31" i="20"/>
  <c r="E31" i="20"/>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<sst xmlns="http://schemas.openxmlformats.org/spreadsheetml/2006/main" count="2583" uniqueCount="1145">
  <si>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</si>
  <si>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</si>
  <si>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</si>
  <si>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</si>
  <si>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</si>
  <si>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</si>
  <si>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</si>
  <si>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</si>
  <si>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</si>
  <si>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</si>
  <si>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</si>
  <si>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</si>
  <si>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</si>
  <si>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</si>
  <si>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</si>
  <si>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</si>
  <si>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</si>
  <si>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</si>
  <si>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</si>
  <si>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</si>
  <si>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</si>
  <si>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</si>
  <si>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</si>
  <si>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</si>
  <si>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</si>
  <si>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</si>
  <si>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</si>
  <si>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</si>
  <si>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</si>
  <si>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</si>
  <si>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</si>
  <si>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</si>
  <si>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</si>
  <si>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</si>
  <si>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</si>
  <si>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</si>
  <si>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</si>
  <si>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</si>
  <si>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</si>
  <si>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</si>
  <si>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</si>
  <si>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</si>
  <si>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</si>
  <si>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</si>
  <si>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</si>
  <si>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</si>
  <si>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</si>
  <si>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</si>
  <si>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</si>
  <si>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</si>
  <si>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</si>
  <si>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</si>
  <si>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</si>
  <si>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</si>
  <si>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</si>
  <si>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</si>
  <si>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</si>
  <si>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</si>
  <si>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</si>
  <si>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</si>
  <si>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</si>
  <si>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</si>
  <si>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</si>
  <si>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</si>
  <si>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</si>
  <si>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</si>
  <si>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</si>
  <si>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</si>
  <si>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</si>
  <si>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</si>
  <si>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</si>
  <si>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</si>
  <si>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</si>
  <si>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</si>
  <si>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</si>
  <si>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</si>
  <si>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</si>
  <si>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</si>
  <si>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</si>
  <si>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</si>
  <si>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</si>
  <si>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</si>
  <si>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</si>
  <si>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</si>
  <si>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</si>
  <si>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</si>
  <si>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</si>
  <si>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</si>
  <si>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</si>
  <si>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</si>
  <si>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</si>
  <si>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</si>
  <si>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</si>
  <si>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</si>
  <si>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</si>
  <si>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</si>
  <si>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</si>
  <si>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</si>
  <si>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</si>
  <si>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</si>
  <si>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</si>
  <si>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</si>
  <si>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</si>
  <si>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</si>
  <si>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</si>
  <si>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</si>
  <si>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</si>
  <si>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</si>
  <si>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</si>
  <si>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</si>
  <si>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</si>
  <si>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</si>
  <si>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</si>
  <si>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</si>
  <si>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</si>
  <si>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</si>
  <si>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</si>
  <si>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</si>
  <si>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</si>
  <si>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</si>
  <si>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</si>
  <si>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</si>
  <si>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</si>
  <si>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</si>
  <si>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</si>
  <si>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</si>
  <si>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</si>
  <si>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</si>
  <si>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</si>
  <si>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</si>
  <si>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</si>
  <si>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</si>
  <si>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</si>
  <si>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</si>
  <si>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</si>
  <si>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</si>
  <si>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</si>
  <si>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</si>
  <si>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</si>
  <si>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</si>
  <si>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</si>
  <si>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</si>
  <si>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</si>
  <si>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</si>
  <si>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</si>
  <si>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</si>
  <si>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</si>
  <si>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</si>
  <si>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</si>
  <si>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</si>
  <si>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</si>
  <si>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</si>
  <si>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</si>
  <si>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</si>
  <si>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</si>
  <si>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</si>
  <si>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</si>
  <si>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</si>
  <si>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</si>
  <si>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</si>
  <si>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</si>
  <si>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</si>
  <si>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</si>
  <si>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</si>
  <si>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</si>
  <si>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</si>
  <si>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</si>
  <si>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</si>
  <si>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</si>
  <si>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</si>
  <si>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</si>
  <si>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</si>
  <si>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</si>
  <si>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</si>
  <si>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</si>
  <si>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</si>
  <si>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</si>
  <si>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</si>
  <si>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</si>
  <si>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</si>
  <si>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</si>
  <si>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</si>
  <si>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</si>
  <si>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</si>
  <si>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</si>
  <si>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</si>
  <si>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</si>
  <si>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</si>
  <si>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</si>
  <si>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</si>
  <si>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</si>
  <si>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</si>
  <si>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</si>
  <si>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</si>
  <si>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</si>
  <si>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</si>
  <si>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</si>
  <si>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</si>
  <si>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</si>
  <si>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</si>
  <si>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</si>
  <si>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</si>
  <si>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</si>
  <si>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</si>
  <si>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</si>
  <si>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</si>
  <si>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</si>
  <si>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</si>
  <si>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</si>
  <si>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</si>
  <si>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</si>
  <si>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</si>
  <si>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</si>
  <si>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</si>
  <si>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</si>
  <si>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</si>
  <si>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</si>
  <si>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</si>
  <si>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</si>
  <si>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</si>
  <si>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</si>
  <si>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</si>
  <si>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</si>
  <si>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</si>
  <si>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</si>
  <si>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</si>
  <si>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</si>
  <si>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</si>
  <si>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</si>
  <si>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</si>
  <si>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</si>
  <si>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</si>
  <si>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</si>
  <si>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</si>
  <si>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</si>
  <si>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</si>
  <si>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</si>
  <si>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</si>
  <si>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</si>
  <si>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</si>
  <si>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</si>
  <si>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</si>
  <si>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</si>
  <si>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</si>
  <si>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</si>
  <si>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</si>
  <si>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</si>
  <si>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</si>
  <si>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</si>
  <si>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</si>
  <si>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</si>
  <si>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</si>
  <si>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</si>
  <si>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</si>
  <si>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</si>
  <si>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</si>
  <si>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</si>
  <si>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</si>
  <si>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</si>
  <si>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</si>
  <si>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</si>
  <si>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</si>
  <si>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</si>
  <si>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</si>
  <si>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</si>
  <si>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</si>
  <si>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</si>
  <si>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</si>
  <si>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</si>
  <si>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</si>
  <si>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</si>
  <si>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</si>
  <si>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</si>
  <si>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</si>
  <si>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</si>
  <si>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</si>
  <si>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</si>
  <si>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</si>
  <si>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</si>
  <si>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</si>
  <si>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</si>
  <si>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</si>
  <si>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</si>
  <si>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</si>
  <si>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</si>
  <si>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</si>
  <si>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</si>
  <si>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</si>
  <si>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</si>
  <si>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</si>
  <si>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</si>
  <si>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</si>
  <si>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</si>
  <si>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</si>
  <si>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</si>
  <si>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</si>
  <si>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</si>
  <si>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</si>
  <si>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</si>
  <si>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</si>
  <si>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</si>
  <si>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</si>
  <si>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</si>
  <si>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</si>
  <si>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</si>
  <si>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</si>
  <si>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</si>
  <si>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</si>
  <si>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</si>
  <si>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</si>
  <si>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</si>
  <si>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</si>
  <si>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</si>
  <si>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</si>
  <si>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</si>
  <si>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</si>
  <si>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</si>
  <si>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</si>
  <si>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</si>
  <si>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</si>
  <si>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</si>
  <si>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</si>
  <si>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</si>
  <si>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</si>
  <si>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</si>
  <si>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</si>
  <si>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</si>
  <si>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</si>
  <si>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</si>
  <si>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</si>
  <si>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</si>
  <si>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</si>
  <si>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</si>
  <si>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</si>
  <si>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</si>
  <si>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</si>
  <si>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</si>
  <si>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</si>
  <si>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</si>
  <si>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</si>
  <si>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</si>
  <si>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</si>
  <si>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</si>
  <si>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</si>
  <si>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</si>
  <si>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</si>
  <si>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</si>
  <si>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</si>
  <si>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</si>
  <si>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</si>
  <si>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</si>
  <si>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</si>
  <si>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</si>
  <si>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</si>
  <si>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</si>
  <si>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</si>
  <si>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</si>
  <si>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</si>
  <si>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</si>
  <si>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</si>
  <si>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</si>
  <si>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</si>
  <si>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</si>
  <si>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</si>
  <si>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</si>
  <si>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</si>
  <si>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</si>
  <si>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</si>
  <si>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</si>
  <si>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</si>
  <si>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</si>
  <si>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</si>
  <si>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</si>
  <si>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</si>
  <si>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</si>
  <si>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</si>
  <si>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</si>
  <si>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</si>
  <si>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</si>
  <si>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</si>
  <si>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</si>
  <si>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</si>
  <si>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</si>
  <si>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</si>
  <si>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</si>
  <si>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</si>
  <si>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</si>
  <si>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</si>
  <si>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</si>
  <si>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</si>
  <si>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</si>
  <si>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</si>
  <si>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</si>
  <si>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</si>
  <si>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</si>
  <si>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</si>
  <si>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</si>
  <si>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</si>
  <si>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</si>
  <si>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</si>
  <si>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</si>
  <si>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</si>
  <si>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</si>
  <si>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</si>
  <si>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</si>
  <si>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</si>
  <si>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</si>
  <si>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</si>
  <si>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</si>
  <si>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</si>
  <si>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</si>
  <si>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</si>
  <si>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</si>
  <si>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</si>
  <si>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</si>
  <si>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</si>
  <si>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</si>
  <si>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</si>
  <si>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</si>
  <si>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</si>
  <si>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</si>
  <si>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</si>
  <si>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</si>
  <si>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</si>
  <si>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</si>
  <si>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</si>
  <si>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</si>
  <si>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</si>
  <si>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</si>
  <si>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</si>
  <si>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</si>
  <si>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</si>
  <si>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</si>
  <si>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</si>
  <si>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</si>
  <si>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</si>
  <si>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</si>
  <si>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</si>
  <si>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</si>
  <si>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</si>
  <si>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</si>
  <si>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</si>
  <si>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</si>
  <si>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</si>
  <si>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</si>
  <si>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</si>
  <si>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</si>
  <si>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</si>
  <si>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</si>
  <si>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</si>
  <si>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</si>
  <si>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</si>
  <si>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</si>
  <si>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</si>
  <si>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</si>
  <si>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</si>
  <si>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</si>
  <si>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</si>
  <si>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</si>
  <si>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</si>
  <si>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</si>
  <si>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</si>
  <si>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</si>
  <si>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</si>
  <si>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</si>
  <si>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</si>
  <si>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</si>
  <si>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</si>
  <si>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</si>
  <si>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</si>
  <si>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</si>
  <si>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</si>
  <si>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</si>
  <si>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</si>
  <si>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</si>
  <si>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</si>
  <si>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</si>
  <si>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</si>
  <si>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</si>
  <si>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</si>
  <si>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</si>
  <si>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</si>
  <si>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</si>
  <si>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</si>
  <si>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</si>
  <si>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</si>
  <si>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</si>
  <si>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</si>
  <si>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</si>
  <si>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</si>
  <si>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</si>
  <si>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</si>
  <si>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</si>
  <si>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</si>
  <si>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</si>
  <si>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</si>
  <si>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</si>
  <si>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</si>
  <si>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</si>
  <si>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</si>
  <si>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</si>
  <si>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</si>
  <si>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</si>
  <si>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</si>
  <si>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</si>
  <si>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</si>
  <si>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</si>
  <si>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</si>
  <si>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</si>
  <si>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</si>
  <si>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</si>
  <si>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</si>
  <si>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</si>
  <si>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</si>
  <si>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</si>
  <si>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</si>
  <si>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</si>
  <si>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</si>
  <si>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</si>
  <si>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</si>
  <si>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</si>
  <si>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</si>
  <si>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</si>
  <si>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</si>
  <si>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</si>
  <si>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</si>
  <si>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</si>
  <si>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</si>
  <si>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</si>
  <si>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</si>
  <si>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</si>
  <si>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</si>
  <si>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</si>
  <si>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</si>
  <si>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</si>
  <si>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</si>
  <si>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</si>
  <si>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</si>
  <si>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</si>
  <si>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</si>
  <si>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</si>
  <si>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</si>
  <si>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</si>
  <si>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</si>
  <si>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</si>
  <si>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</si>
  <si>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</si>
  <si>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</si>
  <si>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</si>
  <si>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</si>
  <si>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</si>
  <si>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</si>
  <si>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</si>
  <si>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</si>
  <si>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</si>
  <si>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</si>
  <si>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</si>
  <si>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</si>
  <si>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</si>
  <si>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</si>
  <si>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</si>
  <si>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</si>
  <si>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</si>
  <si>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</si>
  <si>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</si>
  <si>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</si>
  <si>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</si>
  <si>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</si>
  <si>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</si>
  <si>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</si>
  <si>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</si>
  <si>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</si>
  <si>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</si>
  <si>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</si>
  <si>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</si>
  <si>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</si>
  <si>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</si>
  <si>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</si>
  <si>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</si>
  <si>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</si>
  <si>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</si>
  <si>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</si>
  <si>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</si>
  <si>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</si>
  <si>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</si>
  <si>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</si>
  <si>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</si>
  <si>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</si>
  <si>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</si>
  <si>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</si>
  <si>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</si>
  <si>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</si>
  <si>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</si>
  <si>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</si>
  <si>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</si>
  <si>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</si>
  <si>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</si>
  <si>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</si>
  <si>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</si>
  <si>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</si>
  <si>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</si>
  <si>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</si>
  <si>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</si>
  <si>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</si>
  <si>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</si>
  <si>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</si>
  <si>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</si>
  <si>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</si>
  <si>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</si>
  <si>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</si>
  <si>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</si>
  <si>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</si>
  <si>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</si>
  <si>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</si>
  <si>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</si>
  <si>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</si>
  <si>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</si>
  <si>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</si>
  <si>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</si>
  <si>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</si>
  <si>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</si>
  <si>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</si>
  <si>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</si>
  <si>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</si>
  <si>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</si>
  <si>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</si>
  <si>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</si>
  <si>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</si>
  <si>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</si>
  <si>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</si>
  <si>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</si>
  <si>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</si>
  <si>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</si>
  <si>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</si>
  <si>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</si>
  <si>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</si>
  <si>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</si>
  <si>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</si>
  <si>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</si>
  <si>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</si>
  <si>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</si>
  <si>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</si>
  <si>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</si>
  <si>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</si>
  <si>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</si>
  <si>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</si>
  <si>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</si>
  <si>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</si>
  <si>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</si>
  <si>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</si>
  <si>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</si>
  <si>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</si>
  <si>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</si>
  <si>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</si>
  <si>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</si>
  <si>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</si>
  <si>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</si>
  <si>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</si>
  <si>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</si>
  <si>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</si>
  <si>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</si>
  <si>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</si>
  <si>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</si>
  <si>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</si>
  <si>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</si>
  <si>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</si>
  <si>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</si>
  <si>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</si>
  <si>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</si>
  <si>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</si>
  <si>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</si>
  <si>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</si>
  <si>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</si>
  <si>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</si>
  <si>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</si>
  <si>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</si>
  <si>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</si>
  <si>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</si>
  <si>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</si>
  <si>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</si>
  <si>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</si>
  <si>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</si>
  <si>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</si>
  <si>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</si>
  <si>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</si>
  <si>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</si>
  <si>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</si>
  <si>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</si>
  <si>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</si>
  <si>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</si>
  <si>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</si>
  <si>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</si>
  <si>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</si>
  <si>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</si>
  <si>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</si>
  <si>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</si>
  <si>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</si>
  <si>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</si>
  <si>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</si>
  <si>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</si>
  <si>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</si>
  <si>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</si>
  <si>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</si>
  <si>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</si>
  <si>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</si>
  <si>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</si>
  <si>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</si>
  <si>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</si>
  <si>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</si>
  <si>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</si>
  <si>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</si>
  <si>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</si>
  <si>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</si>
  <si>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</si>
  <si>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</si>
  <si>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</si>
  <si>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</si>
  <si>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</si>
  <si>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</si>
  <si>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</si>
  <si>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</si>
  <si>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</si>
  <si>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</si>
  <si>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</si>
  <si>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</si>
  <si>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</si>
  <si>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</si>
  <si>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</si>
  <si>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</si>
  <si>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</si>
  <si>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</si>
  <si>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</si>
  <si>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</si>
  <si>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</si>
  <si>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</si>
  <si>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</si>
  <si>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</si>
  <si>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</si>
  <si>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</si>
  <si>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</si>
  <si>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</si>
  <si>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</si>
  <si>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</si>
  <si>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</si>
  <si>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</si>
  <si>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</si>
  <si>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</si>
  <si>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</si>
  <si>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</si>
  <si>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</si>
  <si>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</si>
  <si>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</si>
  <si>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</si>
  <si>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</si>
  <si>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</si>
  <si>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</si>
  <si>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</si>
  <si>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</si>
  <si>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</si>
  <si>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</si>
  <si>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</si>
  <si>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</si>
  <si>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</si>
  <si>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</si>
  <si>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</si>
  <si>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</si>
  <si>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</si>
  <si>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</si>
  <si>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</si>
  <si>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</si>
  <si>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</si>
  <si>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</si>
  <si>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</si>
  <si>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</si>
  <si>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</si>
  <si>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</si>
  <si>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</si>
  <si>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</si>
  <si>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</si>
  <si>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</si>
  <si>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</si>
  <si>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</si>
  <si>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</si>
  <si>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</si>
  <si>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</si>
  <si>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</si>
  <si>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</si>
  <si>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</si>
  <si>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</si>
  <si>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</si>
  <si>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</si>
  <si>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</si>
  <si>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</si>
  <si>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</si>
  <si>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</si>
  <si>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</si>
  <si>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</si>
  <si>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</si>
  <si>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</si>
  <si>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</si>
  <si>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</si>
  <si>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</si>
  <si>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</si>
  <si>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</si>
  <si>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</si>
  <si>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</si>
  <si>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</si>
  <si>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</si>
  <si>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</si>
  <si>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</si>
  <si>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</si>
  <si>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</si>
  <si>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</si>
  <si>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</si>
  <si>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</si>
  <si>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</si>
  <si>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</si>
  <si>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</si>
  <si>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</si>
  <si>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</si>
  <si>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</si>
  <si>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</si>
  <si>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</si>
  <si>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</si>
  <si>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</si>
  <si>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</si>
  <si>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</si>
  <si>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</si>
  <si>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</si>
  <si>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</si>
  <si>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</si>
  <si>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</si>
  <si>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</si>
  <si>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</si>
  <si>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</si>
  <si>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</si>
  <si>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</si>
  <si>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</si>
  <si>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</si>
  <si>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</si>
  <si>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</si>
  <si>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</si>
  <si>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</si>
  <si>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</si>
  <si>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</si>
  <si>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</si>
  <si>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</si>
  <si>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</si>
  <si>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</si>
  <si>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</si>
  <si>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</si>
  <si>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</si>
  <si>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</si>
  <si>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</si>
  <si>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</si>
  <si>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</si>
  <si>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</si>
  <si>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</si>
  <si>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</si>
  <si>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</si>
  <si>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</si>
  <si>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</si>
  <si>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</si>
  <si>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</si>
  <si>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</si>
  <si>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</si>
  <si>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</si>
  <si>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</si>
  <si>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</si>
  <si>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</si>
  <si>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</si>
  <si>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</si>
  <si>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</si>
  <si>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</si>
  <si>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</si>
  <si>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</si>
  <si>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</si>
  <si>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</si>
  <si>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</si>
  <si>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</si>
  <si>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</si>
  <si>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</si>
  <si>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</si>
  <si>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</si>
  <si>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</si>
  <si>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</si>
  <si>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</si>
  <si>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</si>
  <si>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</si>
  <si>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</si>
  <si>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</si>
  <si>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</si>
  <si>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</si>
  <si>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</si>
  <si>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</si>
  <si>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</si>
  <si>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</si>
  <si>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</si>
  <si>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</si>
  <si>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</si>
  <si>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</si>
  <si>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</si>
  <si>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</si>
  <si>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</si>
  <si>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</si>
  <si>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</si>
  <si>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</si>
  <si>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</si>
  <si>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</si>
  <si>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</si>
  <si>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</si>
  <si>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</si>
  <si>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</si>
  <si>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</si>
  <si>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</si>
  <si>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</si>
  <si>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</si>
  <si>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</si>
  <si>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</si>
  <si>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</si>
  <si>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</si>
  <si>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</si>
  <si>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</si>
  <si>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</si>
  <si>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</si>
  <si>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</si>
  <si>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</si>
  <si>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</si>
  <si>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</si>
  <si>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</si>
  <si>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</si>
  <si>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</si>
  <si>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</si>
  <si>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</si>
  <si>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</si>
  <si>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</si>
  <si>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</si>
  <si>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</si>
  <si>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</si>
  <si>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</si>
  <si>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</si>
  <si>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</si>
  <si>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</si>
  <si>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</si>
  <si>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</si>
  <si>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</si>
  <si>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</si>
  <si>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</si>
  <si>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</si>
  <si>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</si>
  <si>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</si>
  <si>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</si>
  <si>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</si>
  <si>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</si>
  <si>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</si>
  <si>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</si>
  <si>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</si>
  <si>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</si>
  <si>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</si>
  <si>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</si>
  <si>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</si>
  <si>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</si>
  <si>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</si>
  <si>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</si>
  <si>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</si>
  <si>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</si>
  <si>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</si>
  <si>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</si>
  <si>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</si>
  <si>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</si>
  <si>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</si>
  <si>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</si>
  <si>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</si>
  <si>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</si>
  <si>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</si>
  <si>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</si>
  <si>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</si>
  <si>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</si>
  <si>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</si>
  <si>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</si>
  <si>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</si>
  <si>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</si>
  <si>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</si>
  <si>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</si>
  <si>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</si>
  <si>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</si>
  <si>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</si>
  <si>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</si>
  <si>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</si>
  <si>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</si>
  <si>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</si>
  <si>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</si>
  <si>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</si>
  <si>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</si>
  <si>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</si>
  <si>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</si>
  <si>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</si>
  <si>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</si>
  <si>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</si>
  <si>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</si>
  <si>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</si>
  <si>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</si>
  <si>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</si>
  <si>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</si>
  <si>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</si>
  <si>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</si>
  <si>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</si>
  <si>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</si>
  <si>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</si>
  <si>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</si>
  <si>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</si>
  <si>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</si>
  <si>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</si>
  <si>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</si>
  <si>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</si>
  <si>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</si>
  <si>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</si>
  <si>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</si>
  <si>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</si>
  <si>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</si>
  <si>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</si>
  <si>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</si>
  <si>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</si>
  <si>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</si>
  <si>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</si>
  <si>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</si>
  <si>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</si>
  <si>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</si>
  <si>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</si>
  <si>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</si>
  <si>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</si>
  <si>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</si>
  <si>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</si>
  <si>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</si>
  <si>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</si>
  <si>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</si>
  <si>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</si>
  <si>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</si>
  <si>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</si>
  <si>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</si>
  <si>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</si>
  <si>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</si>
  <si>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</si>
  <si>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</si>
  <si>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</si>
  <si>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</si>
  <si>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</si>
  <si>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</si>
  <si>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</si>
  <si>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</si>
  <si>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</si>
  <si>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</si>
  <si>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</si>
  <si>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</si>
  <si>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</si>
  <si>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</si>
  <si>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</si>
  <si>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</si>
  <si>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</si>
  <si>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</si>
  <si>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</si>
  <si>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</si>
  <si>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</si>
  <si>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</si>
  <si>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</si>
  <si>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</si>
  <si>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</si>
  <si>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</si>
  <si>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</si>
  <si>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</si>
  <si>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</si>
  <si>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</si>
  <si>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</si>
  <si>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</si>
  <si>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</si>
  <si>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</si>
  <si>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</si>
  <si>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</si>
  <si>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</si>
  <si>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</si>
  <si>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</si>
  <si>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</si>
  <si>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</si>
  <si>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</si>
  <si>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</si>
  <si>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</si>
  <si>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</si>
  <si>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</si>
  <si>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</si>
  <si>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</si>
  <si>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</si>
  <si>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</si>
  <si>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</si>
  <si>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</si>
  <si>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</si>
  <si>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</si>
  <si>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</si>
  <si>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</si>
  <si>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</si>
  <si>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</si>
  <si>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</si>
  <si>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</si>
  <si>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</si>
  <si>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</si>
  <si>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</si>
  <si>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</si>
  <si>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</si>
  <si>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</si>
  <si>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</si>
  <si>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</si>
  <si>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</si>
  <si>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</si>
  <si>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</si>
  <si>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</si>
  <si>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</si>
  <si>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</si>
  <si>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</si>
  <si>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</si>
  <si>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</si>
  <si>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</si>
  <si>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</si>
  <si>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</si>
  <si>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</si>
  <si>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</si>
  <si>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</si>
  <si>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</si>
  <si>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</si>
  <si>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</si>
  <si>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</si>
  <si>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</si>
  <si>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</si>
  <si>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</si>
  <si>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</si>
  <si>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</si>
  <si>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</si>
  <si>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</si>
  <si>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</si>
  <si>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Fecha Informe: 25 nov. 2021</t>
  </si>
  <si>
    <t>Tribunales de Justicia</t>
  </si>
  <si>
    <t>ANDALUCIA</t>
  </si>
  <si>
    <t>Provincias</t>
  </si>
  <si>
    <t>MALAGA</t>
  </si>
  <si>
    <t>Resumenes por Partidos Judiciales</t>
  </si>
  <si>
    <t>MELILLA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</si>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</sst>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2">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84" fillId="0" borderId="18" xfId="0" applyNumberFormat="1" applyFont="1" applyBorder="1" applyAlignment="1" applyProtection="1">
      <alignment horizontal="right"/>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83">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val="0"/>
        <i val="0"/>
        <color theme="1"/>
      </font>
    </dxf>
    <dxf>
      <font>
        <b val="0"/>
        <i val="0"/>
        <color theme="1"/>
      </font>
    </dxf>
    <dxf>
      <font>
        <b val="0"/>
        <i val="0"/>
        <color theme="1"/>
      </font>
    </dxf>
    <dxf>
      <font>
        <b val="0"/>
        <i val="0"/>
        <color theme="1"/>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285</v>
      </c>
    </row>
    <row r="3" spans="1:19" ht="23.25" thickBot="1">
      <c r="A3" s="1540" t="s">
        <v>140</v>
      </c>
      <c r="B3" s="1541"/>
      <c r="C3" s="1541"/>
      <c r="D3" s="1542"/>
      <c r="E3" s="413"/>
      <c r="F3" s="2"/>
      <c r="Q3" s="392">
        <v>1</v>
      </c>
      <c r="R3" s="392">
        <v>3</v>
      </c>
      <c r="S3" t="b">
        <f>AND(Q3&gt;=TrimIni,Q3&lt;=TrimFin)</f>
        <v>0</v>
      </c>
    </row>
    <row r="4" spans="1:19" ht="22.5" customHeight="1" thickBot="1">
      <c r="A4" s="414" t="s">
        <v>1137</v>
      </c>
      <c r="B4" s="413"/>
      <c r="C4" s="413"/>
      <c r="D4" s="413"/>
      <c r="E4" s="413"/>
      <c r="F4" s="2"/>
      <c r="Q4" s="392">
        <v>2</v>
      </c>
      <c r="R4" s="392">
        <v>3</v>
      </c>
      <c r="S4" t="b">
        <f>AND(Q4&gt;=TrimIni,Q4&lt;=TrimFin)</f>
        <v>0</v>
      </c>
    </row>
    <row r="5" spans="1:19" ht="15.75" thickBot="1">
      <c r="A5" s="415" t="s">
        <v>52</v>
      </c>
      <c r="B5" s="416">
        <v>2021</v>
      </c>
      <c r="C5" s="417" t="s">
        <v>272</v>
      </c>
      <c r="D5" s="418">
        <v>3</v>
      </c>
      <c r="E5" s="419"/>
      <c r="F5" s="3"/>
      <c r="H5" t="s">
        <v>539</v>
      </c>
      <c r="Q5" s="392">
        <v>3</v>
      </c>
      <c r="R5" s="392">
        <v>2</v>
      </c>
      <c r="S5" t="b">
        <f>AND(Q5&gt;=TrimIni,Q5&lt;=TrimFin)</f>
        <v>1</v>
      </c>
    </row>
    <row r="6" spans="1:19" ht="15">
      <c r="A6" s="420"/>
      <c r="B6" s="419"/>
      <c r="C6" s="417" t="s">
        <v>273</v>
      </c>
      <c r="D6" s="418">
        <v>3</v>
      </c>
      <c r="E6" s="419"/>
      <c r="F6" s="3"/>
      <c r="Q6" s="392">
        <v>4</v>
      </c>
      <c r="R6" s="392">
        <v>3</v>
      </c>
      <c r="S6" t="b">
        <f>AND(Q6&gt;=TrimIni,Q6&lt;=TrimFin)</f>
        <v>0</v>
      </c>
    </row>
    <row r="7" spans="1:19" ht="13.5" thickBot="1">
      <c r="A7" s="421"/>
      <c r="B7" s="422"/>
      <c r="C7" s="419"/>
      <c r="D7" s="419"/>
      <c r="E7" s="419"/>
      <c r="F7" s="3"/>
      <c r="Q7" s="392"/>
      <c r="R7" s="392"/>
    </row>
    <row r="8" spans="1:19" ht="22.5">
      <c r="A8" s="539"/>
      <c r="B8" s="423"/>
      <c r="C8" s="424"/>
      <c r="D8" s="425"/>
      <c r="E8" s="426"/>
      <c r="F8" s="3"/>
      <c r="Q8" s="392"/>
      <c r="R8" s="393">
        <f>11/SUMIF(S3:S6,TRUE,R3:R6)</f>
        <v>5.5</v>
      </c>
    </row>
    <row r="9" spans="1:19">
      <c r="A9" s="427" t="s">
        <v>1138</v>
      </c>
      <c r="B9" s="422" t="s">
        <v>1139</v>
      </c>
      <c r="C9" s="419"/>
      <c r="D9" s="419"/>
      <c r="E9" s="428"/>
      <c r="F9" s="3"/>
    </row>
    <row r="10" spans="1:19">
      <c r="A10" s="427" t="s">
        <v>1140</v>
      </c>
      <c r="B10" s="419" t="s">
        <v>1141</v>
      </c>
      <c r="C10" s="419"/>
      <c r="D10" s="419"/>
      <c r="E10" s="428"/>
      <c r="F10" s="3"/>
      <c r="Q10" s="392">
        <v>0</v>
      </c>
    </row>
    <row r="11" spans="1:19" ht="13.5" thickBot="1">
      <c r="A11" s="429" t="s">
        <v>1142</v>
      </c>
      <c r="B11" s="430" t="s">
        <v>1143</v>
      </c>
      <c r="C11" s="430"/>
      <c r="D11" s="430"/>
      <c r="E11" s="431"/>
      <c r="F11" s="3"/>
    </row>
    <row r="12" spans="1:19" ht="40.5" customHeight="1" thickBot="1">
      <c r="A12" s="421"/>
      <c r="B12" s="419"/>
      <c r="C12" s="419"/>
      <c r="D12" s="419"/>
      <c r="E12" s="419"/>
      <c r="F12" s="3"/>
      <c r="Q12" s="1474"/>
    </row>
    <row r="13" spans="1:19" ht="15">
      <c r="A13" s="432" t="s">
        <v>164</v>
      </c>
      <c r="B13" s="433" t="s">
        <v>84</v>
      </c>
      <c r="C13" s="1082" t="s">
        <v>926</v>
      </c>
      <c r="D13" s="419" t="s">
        <v>84</v>
      </c>
      <c r="E13" s="419"/>
      <c r="F13" s="3"/>
    </row>
    <row r="14" spans="1:19" ht="15">
      <c r="A14" s="434" t="s">
        <v>121</v>
      </c>
      <c r="B14" s="435" t="s">
        <v>167</v>
      </c>
      <c r="C14" s="419"/>
      <c r="D14" s="419"/>
      <c r="E14" s="419"/>
      <c r="F14" s="3"/>
    </row>
    <row r="15" spans="1:19" ht="13.5" thickBot="1">
      <c r="A15" s="285"/>
      <c r="B15" s="4"/>
      <c r="C15" s="4"/>
      <c r="D15" s="4"/>
      <c r="E15" s="4"/>
      <c r="F15" s="5"/>
    </row>
    <row r="16" spans="1:19" ht="23.25">
      <c r="A16" s="71"/>
    </row>
  </sheetData>
  <sheetProtection algorithmName="SHA-512" hashValue="l4gy5nWeeYrJsQxiNlbg58Cp/MWrBKK4HyHB+KwDvCA9AxV48R3BS7jvAiARRTOSoMwlyNM5g/oT+AdKe/k/oQ==" saltValue="QAv6FaXu9qufL5enGrM4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8" sqref="V8"/>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462</v>
      </c>
      <c r="E3" s="584"/>
    </row>
    <row r="4" spans="1:31" s="537" customFormat="1" ht="15.75" thickBot="1">
      <c r="A4" s="1451" t="s">
        <v>467</v>
      </c>
      <c r="B4" s="1463" t="str">
        <f>Criterios!B9</f>
        <v>ANDALUCIA</v>
      </c>
      <c r="C4" s="1452"/>
      <c r="D4" s="1452"/>
      <c r="E4" s="1453"/>
      <c r="F4" s="1452"/>
      <c r="G4" s="668"/>
      <c r="H4" s="1693" t="s">
        <v>468</v>
      </c>
      <c r="I4" s="1694"/>
      <c r="J4" s="1694"/>
      <c r="K4" s="1694"/>
      <c r="L4" s="1694"/>
      <c r="M4" s="1454"/>
      <c r="N4" s="1693" t="s">
        <v>469</v>
      </c>
      <c r="O4" s="1694"/>
      <c r="P4" s="1694"/>
      <c r="Q4" s="1694"/>
      <c r="R4" s="1694"/>
      <c r="S4" s="1694"/>
      <c r="T4" s="1694"/>
      <c r="U4" s="1694"/>
      <c r="V4" s="1694"/>
      <c r="W4" s="1694"/>
      <c r="X4" s="1694"/>
      <c r="Y4" s="1694"/>
      <c r="Z4" s="1694"/>
      <c r="AA4" s="1694"/>
      <c r="AB4" s="1694"/>
      <c r="AC4" s="1694"/>
      <c r="AD4" s="1695"/>
    </row>
    <row r="5" spans="1:31" s="537" customFormat="1" ht="15.75" customHeight="1">
      <c r="A5" s="1707" t="s">
        <v>458</v>
      </c>
      <c r="B5" s="1709" t="str">
        <f>"Año:  " &amp;Criterios!B5 &amp; "      Trimestre   " &amp;Criterios!D5 &amp; " al " &amp;Criterios!D6</f>
        <v>Año:  2021      Trimestre   3 al 3</v>
      </c>
      <c r="C5" s="1713" t="s">
        <v>331</v>
      </c>
      <c r="D5" s="1715" t="s">
        <v>168</v>
      </c>
      <c r="E5" s="1715" t="s">
        <v>123</v>
      </c>
      <c r="F5" s="1717" t="s">
        <v>14</v>
      </c>
      <c r="G5" s="1699"/>
      <c r="H5" s="1696" t="s">
        <v>463</v>
      </c>
      <c r="I5" s="1719" t="s">
        <v>465</v>
      </c>
      <c r="J5" s="1696" t="s">
        <v>464</v>
      </c>
      <c r="K5" s="1698" t="s">
        <v>380</v>
      </c>
      <c r="L5" s="1698" t="s">
        <v>466</v>
      </c>
      <c r="M5" s="1698" t="s">
        <v>460</v>
      </c>
      <c r="N5" s="1683"/>
      <c r="O5" s="1684"/>
      <c r="P5" s="582"/>
      <c r="Q5" s="1687" t="s">
        <v>591</v>
      </c>
      <c r="R5" s="1688"/>
      <c r="S5" s="1689"/>
      <c r="T5" s="1701"/>
      <c r="U5" s="1702"/>
      <c r="V5" s="1703"/>
      <c r="W5" s="1687" t="s">
        <v>342</v>
      </c>
      <c r="X5" s="1688"/>
      <c r="Y5" s="1688"/>
      <c r="Z5" s="1689"/>
      <c r="AA5" s="1687" t="s">
        <v>586</v>
      </c>
      <c r="AB5" s="1688"/>
      <c r="AC5" s="1688"/>
      <c r="AD5" s="1689"/>
    </row>
    <row r="6" spans="1:31" s="537" customFormat="1" ht="21.75" customHeight="1" thickBot="1">
      <c r="A6" s="1708"/>
      <c r="B6" s="1710"/>
      <c r="C6" s="1714"/>
      <c r="D6" s="1716"/>
      <c r="E6" s="1716"/>
      <c r="F6" s="1718"/>
      <c r="G6" s="1699"/>
      <c r="H6" s="1697"/>
      <c r="I6" s="1720"/>
      <c r="J6" s="1697"/>
      <c r="K6" s="1699"/>
      <c r="L6" s="1699"/>
      <c r="M6" s="1699"/>
      <c r="N6" s="1685"/>
      <c r="O6" s="1686"/>
      <c r="P6" s="1455"/>
      <c r="Q6" s="1690"/>
      <c r="R6" s="1691"/>
      <c r="S6" s="1692"/>
      <c r="T6" s="1704"/>
      <c r="U6" s="1705"/>
      <c r="V6" s="1706"/>
      <c r="W6" s="1690"/>
      <c r="X6" s="1691"/>
      <c r="Y6" s="1691"/>
      <c r="Z6" s="1692"/>
      <c r="AA6" s="1690"/>
      <c r="AB6" s="1691"/>
      <c r="AC6" s="1691"/>
      <c r="AD6" s="1692"/>
    </row>
    <row r="7" spans="1:31" s="537" customFormat="1" ht="84" customHeight="1">
      <c r="A7" s="1708"/>
      <c r="B7" s="1456" t="str">
        <f>Datos!A7</f>
        <v>COMPETENCIAS</v>
      </c>
      <c r="C7" s="1714"/>
      <c r="D7" s="1716"/>
      <c r="E7" s="1716"/>
      <c r="F7" s="1718"/>
      <c r="G7" s="1699"/>
      <c r="H7" s="1697"/>
      <c r="I7" s="1720"/>
      <c r="J7" s="1697"/>
      <c r="K7" s="1699"/>
      <c r="L7" s="1699"/>
      <c r="M7" s="1700"/>
      <c r="N7" s="1457" t="s">
        <v>286</v>
      </c>
      <c r="O7" s="1457" t="s">
        <v>501</v>
      </c>
      <c r="P7" s="1458" t="s">
        <v>502</v>
      </c>
      <c r="Q7" s="1459" t="s">
        <v>503</v>
      </c>
      <c r="R7" s="1458" t="s">
        <v>494</v>
      </c>
      <c r="S7" s="1459" t="s">
        <v>1133</v>
      </c>
      <c r="T7" s="1526" t="s">
        <v>1134</v>
      </c>
      <c r="U7" s="1526" t="s">
        <v>1135</v>
      </c>
      <c r="V7" s="1526" t="s">
        <v>1136</v>
      </c>
      <c r="W7" s="1457" t="s">
        <v>587</v>
      </c>
      <c r="X7" s="1457" t="s">
        <v>588</v>
      </c>
      <c r="Y7" s="1457" t="s">
        <v>589</v>
      </c>
      <c r="Z7" s="1457" t="s">
        <v>590</v>
      </c>
      <c r="AA7" s="1460" t="s">
        <v>587</v>
      </c>
      <c r="AB7" s="1461" t="s">
        <v>588</v>
      </c>
      <c r="AC7" s="1461" t="s">
        <v>589</v>
      </c>
      <c r="AD7" s="1462" t="s">
        <v>590</v>
      </c>
      <c r="AE7" s="1462" t="s">
        <v>1131</v>
      </c>
    </row>
    <row r="8" spans="1:31" ht="15">
      <c r="A8" s="1711" t="str">
        <f>Datos!A8</f>
        <v>Jurisdicción Civil ( 1 ):</v>
      </c>
      <c r="B8" s="1712"/>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5"/>
      <c r="V9" s="1531"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999.99</v>
      </c>
    </row>
    <row r="10" spans="1:31" ht="15">
      <c r="A10" s="1401">
        <f>ABS(Datos!AO10)</f>
        <v>1</v>
      </c>
      <c r="B10" s="1464" t="str">
        <f>Datos!A10</f>
        <v>Jdos. Violencia contra la mujer</v>
      </c>
      <c r="C10" s="239">
        <f t="shared" si="0"/>
        <v>41</v>
      </c>
      <c r="D10" s="239">
        <f>IF(ISNUMBER(Datos!I10),Datos!I10," - ")</f>
        <v>41</v>
      </c>
      <c r="E10" s="240">
        <f>IF(ISNUMBER(Datos!J10),Datos!J10," - ")</f>
        <v>9</v>
      </c>
      <c r="F10" s="240">
        <f>IF(ISNUMBER(Datos!K10),Datos!K10," - ")</f>
        <v>14</v>
      </c>
      <c r="G10" s="1392" t="str">
        <f>IF(Datos!E10&lt;&gt;"",Datos!E10,Datos!D10)</f>
        <v>37</v>
      </c>
      <c r="H10" s="241">
        <f>IF(ISNUMBER(Datos!L10),Datos!L10," - ")</f>
        <v>36</v>
      </c>
      <c r="I10" s="1402" t="str">
        <f>IF(ISNUMBER(Datos!AS10/Datos!BM10),Datos!AS10/Datos!BM10," - ")</f>
        <v xml:space="preserve"> - </v>
      </c>
      <c r="J10" s="1403">
        <f>IF(ISNUMBER(Datos!BY10/Datos!CN10),Datos!BY10/Datos!CN10," - ")</f>
        <v>0</v>
      </c>
      <c r="K10" s="244">
        <f t="shared" ref="K10:K13" si="1">IF(ISNUMBER((E10-F10)/C10),(E10-F10)/C10," - ")</f>
        <v>-0.12195121951219512</v>
      </c>
      <c r="L10" s="1404">
        <f>IF(ISNUMBER(NºAsuntos!I10/NºAsuntos!G10),(NºAsuntos!I10/NºAsuntos!G10)*11," - ")</f>
        <v>28.285714285714288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5"/>
      <c r="V10" s="1531"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999.99</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5"/>
      <c r="V11" s="1531"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999.99</v>
      </c>
    </row>
    <row r="12" spans="1:31" ht="15">
      <c r="A12" s="1401">
        <f>ABS(Datos!AO12)</f>
        <v>5</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30.314553990610328</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5"/>
      <c r="V12" s="1531"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999.99</v>
      </c>
    </row>
    <row r="13" spans="1:31" ht="15">
      <c r="A13" s="1401">
        <f>ABS(Datos!AO13)</f>
        <v>1</v>
      </c>
      <c r="B13" s="1464" t="str">
        <f>Datos!A13</f>
        <v xml:space="preserve">Jdos. de Menores    </v>
      </c>
      <c r="C13" s="239">
        <f t="shared" si="0"/>
        <v>0</v>
      </c>
      <c r="D13" s="239">
        <f>IF(ISNUMBER(Datos!I13),Datos!I13," - ")</f>
        <v>0</v>
      </c>
      <c r="E13" s="240">
        <f>IF(ISNUMBER(Datos!J13),Datos!J13," - ")</f>
        <v>0</v>
      </c>
      <c r="F13" s="240">
        <f>IF(ISNUMBER(Datos!K13),Datos!K13," - ")</f>
        <v>0</v>
      </c>
      <c r="G13" s="1392" t="str">
        <f>IF(Datos!E13&lt;&gt;"",Datos!E13,Datos!D13)</f>
        <v>07</v>
      </c>
      <c r="H13" s="241">
        <f>IF(ISNUMBER(Datos!L13),Datos!L13," - ")</f>
        <v>0</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5"/>
      <c r="V13" s="1531"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999.99</v>
      </c>
    </row>
    <row r="14" spans="1:31" ht="15">
      <c r="A14" s="1408"/>
      <c r="B14" s="1465" t="str">
        <f>Datos!A14</f>
        <v>TOTAL</v>
      </c>
      <c r="C14" s="1409">
        <f>SUBTOTAL(9,C9:C13)</f>
        <v>41</v>
      </c>
      <c r="D14" s="1409">
        <f>SUBTOTAL(9,D9:D13)</f>
        <v>41</v>
      </c>
      <c r="E14" s="1410">
        <f>SUBTOTAL(9,E9:E13)</f>
        <v>9</v>
      </c>
      <c r="F14" s="1411">
        <f>SUBTOTAL(9,F9:F13)</f>
        <v>14</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6"/>
      <c r="V14" s="1532">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1" t="str">
        <f>Datos!A15</f>
        <v xml:space="preserve">Jurisdicción Penal ( 2 ):                      </v>
      </c>
      <c r="B15" s="1712"/>
      <c r="C15" s="373"/>
      <c r="D15" s="373"/>
      <c r="E15" s="1424"/>
      <c r="F15" s="1424"/>
      <c r="G15" s="1424"/>
      <c r="H15" s="242"/>
      <c r="I15" s="373"/>
      <c r="J15" s="242"/>
      <c r="K15" s="244"/>
      <c r="L15" s="244"/>
      <c r="M15" s="242"/>
      <c r="N15" s="244"/>
      <c r="O15" s="1425"/>
      <c r="P15" s="1426"/>
      <c r="Q15" s="1427"/>
      <c r="R15" s="1428"/>
      <c r="S15" s="1425"/>
      <c r="T15" s="1392"/>
      <c r="U15" s="1537"/>
      <c r="V15" s="1533"/>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5"/>
      <c r="V16" s="1531"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999.99</v>
      </c>
    </row>
    <row r="17" spans="1:31" ht="15">
      <c r="A17" s="1401">
        <f>ABS(Datos!AO17)</f>
        <v>5</v>
      </c>
      <c r="B17" s="1464" t="str">
        <f>Datos!A17</f>
        <v xml:space="preserve">Jdos. 1ª Instª. e Instr.                        </v>
      </c>
      <c r="C17" s="239">
        <f t="shared" si="2"/>
        <v>1920</v>
      </c>
      <c r="D17" s="239">
        <f>IF(ISNUMBER(IF(D_I="SI",Datos!I17,Datos!I17+Datos!AC17)),IF(D_I="SI",Datos!I17,Datos!I17+Datos!AC17)," - ")</f>
        <v>1914</v>
      </c>
      <c r="E17" s="240">
        <f>IF(ISNUMBER(IF(D_I="SI",Datos!J17,Datos!J17+Datos!AD17)),IF(D_I="SI",Datos!J17,Datos!J17+Datos!AD17)," - ")</f>
        <v>1304</v>
      </c>
      <c r="F17" s="240">
        <f>IF(ISNUMBER(IF(D_I="SI",Datos!K17,Datos!K17+Datos!AE17)),IF(D_I="SI",Datos!K17,Datos!K17+Datos!AE17)," - ")</f>
        <v>1305</v>
      </c>
      <c r="G17" s="1392" t="str">
        <f>IF(Datos!E17&lt;&gt;"",Datos!E17,Datos!D17)</f>
        <v>04</v>
      </c>
      <c r="H17" s="241">
        <f>IF(ISNUMBER(IF(D_I="SI",Datos!L17,Datos!L17+Datos!AF17)),IF(D_I="SI",Datos!L17,Datos!L17+Datos!AF17)," - ")</f>
        <v>1919</v>
      </c>
      <c r="I17" s="1402" t="str">
        <f>IF(ISNUMBER(Datos!AS17/Datos!BM17),Datos!AS17/Datos!BM17," - ")</f>
        <v xml:space="preserve"> - </v>
      </c>
      <c r="J17" s="1403">
        <f>IF(ISNUMBER(Datos!BY17/Datos!CN17),Datos!BY17/Datos!CN17," - ")</f>
        <v>0</v>
      </c>
      <c r="K17" s="244">
        <f t="shared" si="3"/>
        <v>-5.2083333333333333E-4</v>
      </c>
      <c r="L17" s="1404">
        <f>IF(ISNUMBER(NºAsuntos!I17/NºAsuntos!G17),(NºAsuntos!I17/NºAsuntos!G17)*11," - ")</f>
        <v>16.175478927203063</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5"/>
      <c r="V17" s="1531"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999.99</v>
      </c>
    </row>
    <row r="18" spans="1:31" ht="15">
      <c r="A18" s="1401">
        <f>ABS(Datos!AO18)</f>
        <v>1</v>
      </c>
      <c r="B18" s="1464" t="str">
        <f>Datos!A18</f>
        <v>Jdos. Violencia contra la mujer</v>
      </c>
      <c r="C18" s="239">
        <f t="shared" si="2"/>
        <v>80</v>
      </c>
      <c r="D18" s="239">
        <f>IF(ISNUMBER(IF(D_I="SI",Datos!I18,Datos!I18+Datos!AC18)),IF(D_I="SI",Datos!I18,Datos!I18+Datos!AC18)," - ")</f>
        <v>80</v>
      </c>
      <c r="E18" s="240">
        <f>IF(ISNUMBER(IF(D_I="SI",Datos!J18,Datos!J18+Datos!AD18)),IF(D_I="SI",Datos!J18,Datos!J18+Datos!AD18)," - ")</f>
        <v>146</v>
      </c>
      <c r="F18" s="240">
        <f>IF(ISNUMBER(IF(D_I="SI",Datos!K18,Datos!K18+Datos!AE18)),IF(D_I="SI",Datos!K18,Datos!K18+Datos!AE18)," - ")</f>
        <v>144</v>
      </c>
      <c r="G18" s="1392" t="str">
        <f>IF(Datos!E18&lt;&gt;"",Datos!E18,Datos!D18)</f>
        <v>37</v>
      </c>
      <c r="H18" s="241">
        <f>IF(ISNUMBER(IF(D_I="SI",Datos!L18,Datos!L18+Datos!AF18)),IF(D_I="SI",Datos!L18,Datos!L18+Datos!AF18)," - ")</f>
        <v>82</v>
      </c>
      <c r="I18" s="1402" t="str">
        <f>IF(ISNUMBER(Datos!AS18/Datos!BM18),Datos!AS18/Datos!BM18," - ")</f>
        <v xml:space="preserve"> - </v>
      </c>
      <c r="J18" s="1403" t="str">
        <f>IF(ISNUMBER((Datos!BY18+Datos!BZ18)/Datos!CN18),(Datos!BY18+Datos!BZ18)/Datos!CN18," - ")</f>
        <v xml:space="preserve"> - </v>
      </c>
      <c r="K18" s="244">
        <f t="shared" si="3"/>
        <v>2.5000000000000001E-2</v>
      </c>
      <c r="L18" s="1404">
        <f>IF(ISNUMBER(NºAsuntos!I18/NºAsuntos!G18),(NºAsuntos!I18/NºAsuntos!G18)*11," - ")</f>
        <v>6.2638888888888884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5"/>
      <c r="V18" s="1531"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999.99</v>
      </c>
    </row>
    <row r="19" spans="1:31" ht="15">
      <c r="A19" s="1401">
        <f>ABS(Datos!AO19)</f>
        <v>1</v>
      </c>
      <c r="B19" s="1464" t="str">
        <f>Datos!A19</f>
        <v xml:space="preserve">Jdos. de Menores                                </v>
      </c>
      <c r="C19" s="239">
        <f t="shared" si="2"/>
        <v>272</v>
      </c>
      <c r="D19" s="239">
        <f>IF(ISNUMBER(Datos!I19),Datos!I19," - ")</f>
        <v>272</v>
      </c>
      <c r="E19" s="240">
        <f>IF(ISNUMBER(Datos!J19),Datos!J19," - ")</f>
        <v>54</v>
      </c>
      <c r="F19" s="240">
        <f>IF(ISNUMBER(Datos!K19),Datos!K19," - ")</f>
        <v>93</v>
      </c>
      <c r="G19" s="1392" t="str">
        <f>IF(Datos!E19&lt;&gt;"",Datos!E19,Datos!D19)</f>
        <v>07</v>
      </c>
      <c r="H19" s="241">
        <f>IF(ISNUMBER(Datos!L19),Datos!L19," - ")</f>
        <v>233</v>
      </c>
      <c r="I19" s="1402" t="str">
        <f>IF(ISNUMBER(Datos!AS19/Datos!BM19),Datos!AS19/Datos!BM19," - ")</f>
        <v xml:space="preserve"> - </v>
      </c>
      <c r="J19" s="1403">
        <f>IF(ISNUMBER(Datos!BY19/Datos!CN19),Datos!BY19/Datos!CN19," - ")</f>
        <v>0</v>
      </c>
      <c r="K19" s="244">
        <f t="shared" si="3"/>
        <v>-0.14338235294117646</v>
      </c>
      <c r="L19" s="1404">
        <f>IF(ISNUMBER(NºAsuntos!I19/NºAsuntos!G19),(NºAsuntos!I19/NºAsuntos!G19)*11," - ")</f>
        <v>27.559139784946236</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5"/>
      <c r="V19" s="1531"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999.99</v>
      </c>
    </row>
    <row r="20" spans="1:31" ht="15">
      <c r="A20" s="1401">
        <f>ABS(Datos!AO20)</f>
        <v>0</v>
      </c>
      <c r="B20" s="1464" t="str">
        <f>Datos!A20</f>
        <v xml:space="preserve">Jdos. Vigilancia Penitenciaria                  </v>
      </c>
      <c r="C20" s="239">
        <f t="shared" si="2"/>
        <v>33</v>
      </c>
      <c r="D20" s="239">
        <f>IF(ISNUMBER(Datos!I20),Datos!I20," - ")</f>
        <v>33</v>
      </c>
      <c r="E20" s="240">
        <f>IF(ISNUMBER(Datos!J20),Datos!J20," - ")</f>
        <v>184</v>
      </c>
      <c r="F20" s="240">
        <f>IF(ISNUMBER(Datos!K20),Datos!K20," - ")</f>
        <v>162</v>
      </c>
      <c r="G20" s="1392" t="str">
        <f>IF(Datos!E20&lt;&gt;"",Datos!E20,Datos!D20)</f>
        <v>08</v>
      </c>
      <c r="H20" s="241">
        <f>IF(ISNUMBER(Datos!L20),Datos!L20," - ")</f>
        <v>55</v>
      </c>
      <c r="I20" s="1402" t="str">
        <f>IF(ISNUMBER(Datos!AS20/Datos!BM20),Datos!AS20/Datos!BM20," - ")</f>
        <v xml:space="preserve"> - </v>
      </c>
      <c r="J20" s="1403">
        <f>IF(ISNUMBER(Datos!BY20/Datos!CN20),Datos!BY20/Datos!CN20," - ")</f>
        <v>0</v>
      </c>
      <c r="K20" s="244">
        <f t="shared" si="3"/>
        <v>0.66666666666666663</v>
      </c>
      <c r="L20" s="1404">
        <f>IF(ISNUMBER(NºAsuntos!I20/NºAsuntos!G20),(NºAsuntos!I20/NºAsuntos!G20)*11," - ")</f>
        <v>3.7345679012345681</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5"/>
      <c r="V20" s="1531"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999.99</v>
      </c>
    </row>
    <row r="21" spans="1:31" ht="15">
      <c r="A21" s="1401">
        <f>ABS(Datos!AO21)</f>
        <v>2</v>
      </c>
      <c r="B21" s="1464" t="str">
        <f>Datos!A21</f>
        <v xml:space="preserve">Jdos. de lo Penal                               </v>
      </c>
      <c r="C21" s="239">
        <f t="shared" si="2"/>
        <v>600</v>
      </c>
      <c r="D21" s="239">
        <f>IF(ISNUMBER(Datos!I21),Datos!I21," - ")</f>
        <v>600</v>
      </c>
      <c r="E21" s="240">
        <f>IF(ISNUMBER(Datos!J21),Datos!J21," - ")</f>
        <v>146</v>
      </c>
      <c r="F21" s="240">
        <f>IF(ISNUMBER(Datos!K21),Datos!K21," - ")</f>
        <v>175</v>
      </c>
      <c r="G21" s="1392" t="str">
        <f>IF(Datos!E21&lt;&gt;"",Datos!E21,Datos!D21)</f>
        <v>09</v>
      </c>
      <c r="H21" s="241">
        <f>IF(ISNUMBER(Datos!L21),Datos!L21," - ")</f>
        <v>571</v>
      </c>
      <c r="I21" s="1402" t="str">
        <f>IF(ISNUMBER(Datos!AS21/Datos!BM21),Datos!AS21/Datos!BM21," - ")</f>
        <v xml:space="preserve"> - </v>
      </c>
      <c r="J21" s="1403" t="str">
        <f>IF(ISNUMBER(Datos!BY21/Datos!CN21),Datos!BY21/Datos!CN21," - ")</f>
        <v xml:space="preserve"> - </v>
      </c>
      <c r="K21" s="244">
        <f t="shared" si="3"/>
        <v>-4.8333333333333332E-2</v>
      </c>
      <c r="L21" s="1404">
        <f>IF(ISNUMBER(NºAsuntos!I21/NºAsuntos!G21),(NºAsuntos!I21/NºAsuntos!G21)*11," - ")</f>
        <v>35.89142857142857</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5"/>
      <c r="V21" s="1531"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999.99</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5"/>
      <c r="V22" s="1531"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999.99</v>
      </c>
    </row>
    <row r="23" spans="1:31" ht="15">
      <c r="A23" s="1408"/>
      <c r="B23" s="1465" t="str">
        <f>Datos!A23</f>
        <v>TOTAL</v>
      </c>
      <c r="C23" s="1409">
        <f>SUBTOTAL(9,C16:C22)</f>
        <v>2905</v>
      </c>
      <c r="D23" s="1409">
        <f>SUBTOTAL(9,D16:D22)</f>
        <v>2899</v>
      </c>
      <c r="E23" s="1410">
        <f>SUBTOTAL(9,E16:E22)</f>
        <v>1834</v>
      </c>
      <c r="F23" s="1410">
        <f>SUBTOTAL(9,F16:F22)</f>
        <v>1879</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6"/>
      <c r="V23" s="1532">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1" t="str">
        <f>Datos!A24</f>
        <v xml:space="preserve">Jurisdicción Cont.-Admva.:                      </v>
      </c>
      <c r="B24" s="1712"/>
      <c r="C24" s="373"/>
      <c r="D24" s="373"/>
      <c r="E24" s="1424"/>
      <c r="F24" s="1424"/>
      <c r="G24" s="1424"/>
      <c r="H24" s="242"/>
      <c r="I24" s="373"/>
      <c r="J24" s="242"/>
      <c r="K24" s="1430"/>
      <c r="L24" s="1430"/>
      <c r="M24" s="242"/>
      <c r="N24" s="1430"/>
      <c r="O24" s="1431"/>
      <c r="P24" s="1432"/>
      <c r="Q24" s="1433"/>
      <c r="R24" s="1434"/>
      <c r="S24" s="1431"/>
      <c r="T24" s="1528"/>
      <c r="U24" s="1538"/>
      <c r="V24" s="1533"/>
      <c r="W24" s="1435"/>
      <c r="X24" s="1398"/>
      <c r="Y24" s="1398"/>
      <c r="Z24" s="1399"/>
      <c r="AA24" s="1406"/>
      <c r="AB24" s="690"/>
      <c r="AC24" s="690"/>
      <c r="AD24" s="1407"/>
      <c r="AE24" s="1527"/>
    </row>
    <row r="25" spans="1:31" ht="15">
      <c r="A25" s="1401">
        <f>ABS(Datos!AO25)</f>
        <v>3</v>
      </c>
      <c r="B25" s="1464" t="str">
        <f>Datos!A25</f>
        <v xml:space="preserve">Jdos Cont.-Admvo.                               </v>
      </c>
      <c r="C25" s="239">
        <f>IF(ISNUMBER(H25-E25+F25),H25-E25+F25," - ")</f>
        <v>502</v>
      </c>
      <c r="D25" s="239">
        <f>IF(ISNUMBER(Datos!I25),Datos!I25," - ")</f>
        <v>496</v>
      </c>
      <c r="E25" s="240">
        <f>IF(ISNUMBER(Datos!J25),Datos!J25," - ")</f>
        <v>138</v>
      </c>
      <c r="F25" s="240">
        <f>IF(ISNUMBER(Datos!K25),Datos!K25," - ")</f>
        <v>221</v>
      </c>
      <c r="G25" s="1392">
        <f>IF(Datos!E25&lt;&gt;"",Datos!E25,Datos!D25)</f>
        <v>30</v>
      </c>
      <c r="H25" s="241">
        <f>IF(ISNUMBER(Datos!L25),Datos!L25," - ")</f>
        <v>419</v>
      </c>
      <c r="I25" s="1402" t="str">
        <f>IF(ISNUMBER(Datos!AS25/Datos!BM25),Datos!AS25/Datos!BM25," - ")</f>
        <v xml:space="preserve"> - </v>
      </c>
      <c r="J25" s="1403">
        <f>IF(ISNUMBER(Datos!BY25/Datos!CN25),Datos!BY25/Datos!CN25," - ")</f>
        <v>0</v>
      </c>
      <c r="K25" s="244">
        <f>IF(ISNUMBER((E25-F25)/C25),(E25-F25)/C25," - ")</f>
        <v>-0.16533864541832669</v>
      </c>
      <c r="L25" s="1404">
        <f>IF(ISNUMBER(NºAsuntos!I25/NºAsuntos!G25),(NºAsuntos!I25/NºAsuntos!G25)*11," - ")</f>
        <v>20.855203619909503</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5"/>
      <c r="V25" s="1531"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999.99</v>
      </c>
    </row>
    <row r="26" spans="1:31" ht="15">
      <c r="A26" s="1408"/>
      <c r="B26" s="1465" t="str">
        <f>Datos!A26</f>
        <v>TOTAL</v>
      </c>
      <c r="C26" s="1409">
        <f>SUBTOTAL(9,C25:C25)</f>
        <v>502</v>
      </c>
      <c r="D26" s="1409">
        <f>SUBTOTAL(9,D25:D25)</f>
        <v>496</v>
      </c>
      <c r="E26" s="1410">
        <f>SUBTOTAL(9,E25:E25)</f>
        <v>138</v>
      </c>
      <c r="F26" s="1410">
        <f>SUBTOTAL(9,F25:F25)</f>
        <v>221</v>
      </c>
      <c r="G26" s="1412">
        <f ca="1">INDIRECT(CONCATENATE("G",ROW()-1))</f>
        <v>30</v>
      </c>
      <c r="H26" s="1413">
        <f ca="1">SUMIF(G$24:G25,G26,H$24:H25)</f>
        <v>419</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6"/>
      <c r="V26" s="1532">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1" t="str">
        <f>Datos!A27</f>
        <v xml:space="preserve">Jurisdicción Social:                            </v>
      </c>
      <c r="B27" s="1712"/>
      <c r="C27" s="373"/>
      <c r="D27" s="373"/>
      <c r="E27" s="1424"/>
      <c r="F27" s="1424"/>
      <c r="G27" s="1424"/>
      <c r="H27" s="242"/>
      <c r="I27" s="373"/>
      <c r="J27" s="242"/>
      <c r="K27" s="244"/>
      <c r="L27" s="244"/>
      <c r="M27" s="242"/>
      <c r="N27" s="244"/>
      <c r="O27" s="1425"/>
      <c r="P27" s="1426"/>
      <c r="Q27" s="1427"/>
      <c r="R27" s="1428"/>
      <c r="S27" s="1425"/>
      <c r="T27" s="549"/>
      <c r="U27" s="1535"/>
      <c r="V27" s="1533"/>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691</v>
      </c>
      <c r="D28" s="239">
        <f>IF(ISNUMBER(Datos!I28),Datos!I28," - ")</f>
        <v>711</v>
      </c>
      <c r="E28" s="240">
        <f>IF(ISNUMBER(Datos!J28),Datos!J28," - ")</f>
        <v>181</v>
      </c>
      <c r="F28" s="240">
        <f>IF(ISNUMBER(Datos!K28),Datos!K28," - ")</f>
        <v>77</v>
      </c>
      <c r="G28" s="1392" t="str">
        <f>IF(Datos!E28&lt;&gt;"",Datos!E28,Datos!D28)</f>
        <v>05</v>
      </c>
      <c r="H28" s="241">
        <f>IF(ISNUMBER(Datos!L28),Datos!L28," - ")</f>
        <v>795</v>
      </c>
      <c r="I28" s="1402" t="str">
        <f>IF(ISNUMBER(Datos!AS28/Datos!BM28),Datos!AS28/Datos!BM28," - ")</f>
        <v xml:space="preserve"> - </v>
      </c>
      <c r="J28" s="1403" t="str">
        <f>IF(ISNUMBER(Datos!BY28/Datos!CN28),Datos!BY28/Datos!CN28," - ")</f>
        <v xml:space="preserve"> - </v>
      </c>
      <c r="K28" s="244">
        <f>IF(ISNUMBER((E28-F28)/C28),(E28-F28)/C28," - ")</f>
        <v>0.15050651230101303</v>
      </c>
      <c r="L28" s="1404">
        <f>IF(ISNUMBER(NºAsuntos!I28/NºAsuntos!G28),(NºAsuntos!I28/NºAsuntos!G28)*11," - ")</f>
        <v>113.57142857142857</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5"/>
      <c r="V28" s="1531"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999.99</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5"/>
      <c r="V29" s="1531"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999.99</v>
      </c>
    </row>
    <row r="30" spans="1:31" ht="15.75" thickBot="1">
      <c r="A30" s="1408"/>
      <c r="B30" s="1465" t="str">
        <f>Datos!A30</f>
        <v>TOTAL</v>
      </c>
      <c r="C30" s="1409">
        <f>SUBTOTAL(9,C28:C29)</f>
        <v>691</v>
      </c>
      <c r="D30" s="1409">
        <f>SUBTOTAL(9,D28:D29)</f>
        <v>711</v>
      </c>
      <c r="E30" s="1410">
        <f>SUBTOTAL(9,E28:E29)</f>
        <v>181</v>
      </c>
      <c r="F30" s="1410">
        <f>SUBTOTAL(9,F28:F29)</f>
        <v>77</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6"/>
      <c r="V30" s="1532">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4139</v>
      </c>
      <c r="D31" s="1437">
        <f>SUBTOTAL(9,D9:D30)</f>
        <v>4147</v>
      </c>
      <c r="E31" s="1438">
        <f>SUBTOTAL(9,E9:E30)</f>
        <v>2162</v>
      </c>
      <c r="F31" s="1438">
        <f>SUBTOTAL(9,F9:F30)</f>
        <v>2191</v>
      </c>
      <c r="G31" s="1439"/>
      <c r="H31" s="1440">
        <f ca="1">SUMIF(B9:B30,"TOTAL",H9:H30)</f>
        <v>419</v>
      </c>
      <c r="I31" s="1441"/>
      <c r="J31" s="1442"/>
      <c r="K31" s="1443"/>
      <c r="L31" s="1444"/>
      <c r="M31" s="1445">
        <f ca="1">SUMIF(B9:B30,"TOTAL",M9:M30)</f>
        <v>0</v>
      </c>
      <c r="N31" s="1444"/>
      <c r="O31" s="1445"/>
      <c r="P31" s="1445"/>
      <c r="Q31" s="1445"/>
      <c r="R31" s="1446">
        <f ca="1">SUMIF(B9:B30,"TOTAL",R9:R30)</f>
        <v>0</v>
      </c>
      <c r="S31" s="1447">
        <f ca="1">SUMIF(B9:B30,"TOTAL",S9:S30)</f>
        <v>0</v>
      </c>
      <c r="T31" s="1449"/>
      <c r="U31" s="1539"/>
      <c r="V31" s="1534">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25 nov. 2021</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2" t="s">
        <v>827</v>
      </c>
      <c r="O37" s="1682"/>
      <c r="P37" s="1682"/>
      <c r="Q37" s="1682"/>
      <c r="R37" s="1682"/>
      <c r="S37" s="1682"/>
      <c r="T37" s="1682"/>
      <c r="U37" s="1682"/>
      <c r="V37" s="1682"/>
      <c r="W37" s="1682"/>
      <c r="Y37" s="1682" t="s">
        <v>828</v>
      </c>
      <c r="Z37" s="1682"/>
      <c r="AA37" s="1682"/>
      <c r="AB37" s="1682"/>
      <c r="AC37" s="1682"/>
    </row>
    <row r="39" spans="2:29">
      <c r="N39" s="1388" t="s">
        <v>829</v>
      </c>
      <c r="O39" s="1677" t="s">
        <v>830</v>
      </c>
      <c r="P39" s="1677"/>
      <c r="Q39" s="1677"/>
      <c r="R39" s="1677"/>
      <c r="S39" s="1677"/>
      <c r="T39" s="1677"/>
      <c r="U39" s="1677"/>
      <c r="V39" s="1677"/>
      <c r="W39" s="1677"/>
      <c r="Y39" s="1388" t="s">
        <v>829</v>
      </c>
      <c r="Z39" s="1680" t="s">
        <v>831</v>
      </c>
      <c r="AA39" s="1680"/>
      <c r="AB39" s="1680"/>
      <c r="AC39" s="1680"/>
    </row>
    <row r="40" spans="2:29">
      <c r="N40" s="1388" t="s">
        <v>832</v>
      </c>
      <c r="O40" s="1677" t="s">
        <v>833</v>
      </c>
      <c r="P40" s="1677"/>
      <c r="Q40" s="1677"/>
      <c r="R40" s="1677"/>
      <c r="S40" s="1677"/>
      <c r="T40" s="1677"/>
      <c r="U40" s="1677"/>
      <c r="V40" s="1677"/>
      <c r="W40" s="1677"/>
      <c r="Y40" s="1388" t="s">
        <v>832</v>
      </c>
      <c r="Z40" s="1680" t="s">
        <v>834</v>
      </c>
      <c r="AA40" s="1680"/>
      <c r="AB40" s="1680"/>
      <c r="AC40" s="1680"/>
    </row>
    <row r="41" spans="2:29">
      <c r="N41" s="1388" t="s">
        <v>835</v>
      </c>
      <c r="O41" s="1677" t="s">
        <v>836</v>
      </c>
      <c r="P41" s="1677"/>
      <c r="Q41" s="1677"/>
      <c r="R41" s="1677"/>
      <c r="S41" s="1677"/>
      <c r="T41" s="1677"/>
      <c r="U41" s="1677"/>
      <c r="V41" s="1677"/>
      <c r="W41" s="1677"/>
      <c r="Y41" s="1388" t="s">
        <v>837</v>
      </c>
      <c r="Z41" s="1680" t="s">
        <v>838</v>
      </c>
      <c r="AA41" s="1680"/>
      <c r="AB41" s="1680"/>
      <c r="AC41" s="1680"/>
    </row>
    <row r="42" spans="2:29">
      <c r="N42" s="1388" t="s">
        <v>839</v>
      </c>
      <c r="O42" s="1677" t="s">
        <v>840</v>
      </c>
      <c r="P42" s="1677"/>
      <c r="Q42" s="1677"/>
      <c r="R42" s="1677"/>
      <c r="S42" s="1677"/>
      <c r="T42" s="1677"/>
      <c r="U42" s="1677"/>
      <c r="V42" s="1677"/>
      <c r="W42" s="1677"/>
      <c r="Y42" s="1388" t="s">
        <v>841</v>
      </c>
      <c r="Z42" s="1680" t="s">
        <v>842</v>
      </c>
      <c r="AA42" s="1680"/>
      <c r="AB42" s="1680"/>
      <c r="AC42" s="1680"/>
    </row>
    <row r="43" spans="2:29">
      <c r="N43" s="1388" t="s">
        <v>929</v>
      </c>
      <c r="O43" s="1677" t="s">
        <v>930</v>
      </c>
      <c r="P43" s="1677"/>
      <c r="Q43" s="1677"/>
      <c r="R43" s="1677"/>
      <c r="S43" s="1677"/>
      <c r="T43" s="1677"/>
      <c r="U43" s="1677"/>
      <c r="V43" s="1677"/>
      <c r="W43" s="1677"/>
      <c r="Y43" s="1388" t="s">
        <v>835</v>
      </c>
      <c r="Z43" s="1680" t="s">
        <v>836</v>
      </c>
      <c r="AA43" s="1680"/>
      <c r="AB43" s="1680"/>
      <c r="AC43" s="1680"/>
    </row>
    <row r="44" spans="2:29">
      <c r="N44" s="1388" t="s">
        <v>843</v>
      </c>
      <c r="O44" s="1677" t="s">
        <v>844</v>
      </c>
      <c r="P44" s="1677"/>
      <c r="Q44" s="1677"/>
      <c r="R44" s="1677"/>
      <c r="S44" s="1677"/>
      <c r="T44" s="1677"/>
      <c r="U44" s="1677"/>
      <c r="V44" s="1677"/>
      <c r="W44" s="1677"/>
      <c r="Y44" s="1388" t="s">
        <v>839</v>
      </c>
      <c r="Z44" s="1680" t="s">
        <v>840</v>
      </c>
      <c r="AA44" s="1680"/>
      <c r="AB44" s="1680"/>
      <c r="AC44" s="1680"/>
    </row>
    <row r="45" spans="2:29">
      <c r="N45" s="1388" t="s">
        <v>845</v>
      </c>
      <c r="O45" s="1677" t="s">
        <v>846</v>
      </c>
      <c r="P45" s="1677"/>
      <c r="Q45" s="1677"/>
      <c r="R45" s="1677"/>
      <c r="S45" s="1677"/>
      <c r="T45" s="1677"/>
      <c r="U45" s="1677"/>
      <c r="V45" s="1677"/>
      <c r="W45" s="1677"/>
      <c r="Y45" s="1388" t="s">
        <v>848</v>
      </c>
      <c r="Z45" s="1680" t="s">
        <v>849</v>
      </c>
      <c r="AA45" s="1680"/>
      <c r="AB45" s="1680"/>
      <c r="AC45" s="1680"/>
    </row>
    <row r="46" spans="2:29">
      <c r="N46" s="1388" t="s">
        <v>837</v>
      </c>
      <c r="O46" s="1677" t="s">
        <v>847</v>
      </c>
      <c r="P46" s="1677"/>
      <c r="Q46" s="1677"/>
      <c r="R46" s="1677"/>
      <c r="S46" s="1677"/>
      <c r="T46" s="1677"/>
      <c r="U46" s="1677"/>
      <c r="V46" s="1677"/>
      <c r="W46" s="1677"/>
      <c r="Y46" s="1388" t="s">
        <v>851</v>
      </c>
      <c r="Z46" s="1680" t="s">
        <v>852</v>
      </c>
      <c r="AA46" s="1680"/>
      <c r="AB46" s="1680"/>
      <c r="AC46" s="1680"/>
    </row>
    <row r="47" spans="2:29">
      <c r="N47" s="1388" t="s">
        <v>841</v>
      </c>
      <c r="O47" s="1677" t="s">
        <v>850</v>
      </c>
      <c r="P47" s="1677"/>
      <c r="Q47" s="1677"/>
      <c r="R47" s="1677"/>
      <c r="S47" s="1677"/>
      <c r="T47" s="1677"/>
      <c r="U47" s="1677"/>
      <c r="V47" s="1677"/>
      <c r="W47" s="1677"/>
      <c r="Y47" s="1389" t="s">
        <v>854</v>
      </c>
      <c r="Z47" s="1678" t="s">
        <v>855</v>
      </c>
      <c r="AA47" s="1678"/>
      <c r="AB47" s="1678"/>
      <c r="AC47" s="1678"/>
    </row>
    <row r="48" spans="2:29">
      <c r="N48" s="1388" t="s">
        <v>848</v>
      </c>
      <c r="O48" s="1677" t="s">
        <v>853</v>
      </c>
      <c r="P48" s="1677"/>
      <c r="Q48" s="1677"/>
      <c r="R48" s="1677"/>
      <c r="S48" s="1677"/>
      <c r="T48" s="1677"/>
      <c r="U48" s="1677"/>
      <c r="V48" s="1677"/>
      <c r="W48" s="1677"/>
      <c r="Y48" s="1388" t="s">
        <v>843</v>
      </c>
      <c r="Z48" s="1680" t="s">
        <v>844</v>
      </c>
      <c r="AA48" s="1680"/>
      <c r="AB48" s="1680"/>
      <c r="AC48" s="1680"/>
    </row>
    <row r="49" spans="14:29">
      <c r="N49" s="1388" t="s">
        <v>856</v>
      </c>
      <c r="O49" s="1677" t="s">
        <v>857</v>
      </c>
      <c r="P49" s="1677"/>
      <c r="Q49" s="1677"/>
      <c r="R49" s="1677"/>
      <c r="S49" s="1677"/>
      <c r="T49" s="1677"/>
      <c r="U49" s="1677"/>
      <c r="V49" s="1677"/>
      <c r="W49" s="1677"/>
      <c r="Y49" s="1390" t="s">
        <v>845</v>
      </c>
      <c r="Z49" s="1681" t="s">
        <v>846</v>
      </c>
      <c r="AA49" s="1681"/>
      <c r="AB49" s="1681"/>
      <c r="AC49" s="1681"/>
    </row>
    <row r="50" spans="14:29">
      <c r="N50" s="1388" t="s">
        <v>851</v>
      </c>
      <c r="O50" s="1677" t="s">
        <v>858</v>
      </c>
      <c r="P50" s="1677"/>
      <c r="Q50" s="1677"/>
      <c r="R50" s="1677"/>
      <c r="S50" s="1677"/>
      <c r="T50" s="1677"/>
      <c r="U50" s="1677"/>
      <c r="V50" s="1677"/>
      <c r="W50" s="1677"/>
    </row>
    <row r="51" spans="14:29">
      <c r="N51" s="1390" t="s">
        <v>854</v>
      </c>
      <c r="O51" s="1679" t="s">
        <v>859</v>
      </c>
      <c r="P51" s="1679"/>
      <c r="Q51" s="1679"/>
      <c r="R51" s="1679"/>
      <c r="S51" s="1679"/>
      <c r="T51" s="1679"/>
      <c r="U51" s="1679"/>
      <c r="V51" s="1679"/>
      <c r="W51" s="1679"/>
    </row>
  </sheetData>
  <sheetProtection algorithmName="SHA-512" hashValue="+ATQU+l/silR9f4dIbk2WlZJxh+r7qK6wHqEKONeT6gMUH1jlpwQS2ZektTOG3P8Ecx8NIy+tYQy9eJa45rvIA==" saltValue="7uVJiyYh+Zj3NEHl/UHp8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4" priority="92" stopIfTrue="1" operator="between">
      <formula>$D$35</formula>
      <formula>$D$36</formula>
    </cfRule>
  </conditionalFormatting>
  <conditionalFormatting sqref="E25 E28:E29 E9:E13 E16:E22">
    <cfRule type="cellIs" dxfId="2873" priority="99" stopIfTrue="1" operator="notBetween">
      <formula>$E$35</formula>
      <formula>$E$36</formula>
    </cfRule>
  </conditionalFormatting>
  <conditionalFormatting sqref="F9:F13 F25 F28:F29 F16:F22">
    <cfRule type="cellIs" dxfId="2872" priority="105" stopIfTrue="1" operator="notBetween">
      <formula>$F$35</formula>
      <formula>$F$36</formula>
    </cfRule>
  </conditionalFormatting>
  <conditionalFormatting sqref="C25 C28:C29 C10:C13 C16:C22">
    <cfRule type="cellIs" dxfId="2871" priority="111" stopIfTrue="1" operator="notBetween">
      <formula>$C$35</formula>
      <formula>$C$36</formula>
    </cfRule>
  </conditionalFormatting>
  <conditionalFormatting sqref="V9:V13">
    <cfRule type="cellIs" dxfId="2870" priority="50" operator="lessThanOrEqual">
      <formula>$AE$9</formula>
    </cfRule>
  </conditionalFormatting>
  <conditionalFormatting sqref="V16:V22">
    <cfRule type="cellIs" dxfId="2869" priority="5" operator="lessThanOrEqual">
      <formula>$AE$9</formula>
    </cfRule>
  </conditionalFormatting>
  <conditionalFormatting sqref="V25">
    <cfRule type="cellIs" dxfId="2868" priority="4" operator="lessThanOrEqual">
      <formula>$AE$9</formula>
    </cfRule>
  </conditionalFormatting>
  <conditionalFormatting sqref="V28:V29">
    <cfRule type="cellIs" dxfId="2867" priority="3" operator="lessThanOrEqual">
      <formula>$AE$9</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heetViews>
  <sheetFormatPr baseColWidth="10" defaultRowHeight="12.75"/>
  <cols>
    <col min="1" max="1" width="31.42578125" customWidth="1"/>
    <col min="2" max="2" width="105.140625" customWidth="1"/>
    <col min="3" max="3" width="107.140625" customWidth="1"/>
  </cols>
  <sheetData>
    <row r="8" spans="2:2">
      <c r="B8" s="1117" t="s">
        <v>533</v>
      </c>
    </row>
    <row r="9" spans="2:2">
      <c r="B9" s="531"/>
    </row>
    <row r="10" spans="2:2">
      <c r="B10" s="525"/>
    </row>
    <row r="11" spans="2:2" ht="25.5">
      <c r="B11" s="526" t="s">
        <v>534</v>
      </c>
    </row>
    <row r="12" spans="2:2">
      <c r="B12" s="527"/>
    </row>
    <row r="13" spans="2:2" ht="76.5">
      <c r="B13" s="527" t="s">
        <v>535</v>
      </c>
    </row>
    <row r="14" spans="2:2">
      <c r="B14" s="527"/>
    </row>
    <row r="15" spans="2:2" ht="51">
      <c r="B15" s="527" t="s">
        <v>536</v>
      </c>
    </row>
    <row r="16" spans="2:2">
      <c r="B16" s="527"/>
    </row>
    <row r="17" spans="2:2" ht="51">
      <c r="B17" s="528" t="s">
        <v>537</v>
      </c>
    </row>
  </sheetData>
  <sheetProtection algorithmName="SHA-512" hashValue="Lg/10FF2vEeef0/+ygvW/IME9V51iivUdAg2FQfD6U829WXrRParUIu3zPrMMcFf5vdQtWZRx/Lce+0DlZpKZg==" saltValue="TVJ3SNIGZRe3S1dYQ/yZ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EB1" activePane="topRight" state="frozen"/>
      <selection pane="topRight"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c r="BO1" s="32"/>
      <c r="BP1" s="31"/>
      <c r="BQ1" s="53"/>
      <c r="BR1" s="32"/>
      <c r="BS1" s="31"/>
      <c r="BT1" s="53"/>
      <c r="BU1" s="32"/>
      <c r="BV1" s="31" t="s">
        <v>353</v>
      </c>
      <c r="BW1" s="53" t="s">
        <v>354</v>
      </c>
      <c r="BX1" s="32" t="s">
        <v>359</v>
      </c>
      <c r="BY1" s="31" t="s">
        <v>361</v>
      </c>
      <c r="BZ1" s="53" t="s">
        <v>370</v>
      </c>
      <c r="CA1" s="32" t="s">
        <v>371</v>
      </c>
      <c r="CB1" s="31" t="s">
        <v>456</v>
      </c>
      <c r="CC1" s="53" t="s">
        <v>459</v>
      </c>
      <c r="CD1" s="32" t="s">
        <v>461</v>
      </c>
      <c r="CE1" s="31" t="s">
        <v>471</v>
      </c>
      <c r="CF1" s="53" t="s">
        <v>472</v>
      </c>
      <c r="CG1" s="32" t="s">
        <v>473</v>
      </c>
      <c r="CH1" s="31" t="s">
        <v>474</v>
      </c>
      <c r="CI1" s="53" t="s">
        <v>498</v>
      </c>
      <c r="CJ1" s="32" t="s">
        <v>500</v>
      </c>
      <c r="CK1" s="31" t="s">
        <v>287</v>
      </c>
      <c r="CL1" s="53" t="s">
        <v>404</v>
      </c>
      <c r="CM1" s="32" t="s">
        <v>409</v>
      </c>
      <c r="CN1" s="31" t="s">
        <v>430</v>
      </c>
      <c r="CO1" s="53" t="s">
        <v>431</v>
      </c>
      <c r="CP1" s="32" t="s">
        <v>448</v>
      </c>
      <c r="CQ1" s="31" t="s">
        <v>449</v>
      </c>
      <c r="CR1" s="32" t="s">
        <v>450</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522</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1" t="s">
        <v>343</v>
      </c>
      <c r="CF4" s="1772"/>
      <c r="CG4" s="1772"/>
      <c r="CH4" s="1773"/>
    </row>
    <row r="5" spans="1:151" ht="12.75" customHeight="1" thickBot="1">
      <c r="A5" s="1797" t="str">
        <f>"Año:  " &amp;Criterios!B5 &amp; "                  Trimestre   " &amp;Criterios!D5 &amp; " al " &amp;Criterios!D6</f>
        <v>Año:  2021                  Trimestre   3 al 3</v>
      </c>
      <c r="B5" s="1799" t="s">
        <v>509</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171</v>
      </c>
      <c r="AP5" s="1774" t="s">
        <v>172</v>
      </c>
      <c r="AQ5" s="1774" t="s">
        <v>120</v>
      </c>
      <c r="AR5" s="1774" t="s">
        <v>173</v>
      </c>
      <c r="AS5" s="1786" t="s">
        <v>210</v>
      </c>
      <c r="AT5" s="1786" t="s">
        <v>211</v>
      </c>
      <c r="AU5" s="1786" t="s">
        <v>300</v>
      </c>
      <c r="AV5" s="1786" t="s">
        <v>298</v>
      </c>
      <c r="AW5" s="1786" t="s">
        <v>301</v>
      </c>
      <c r="AX5" s="1786" t="s">
        <v>299</v>
      </c>
      <c r="AY5" s="1780" t="s">
        <v>148</v>
      </c>
      <c r="AZ5" s="1833"/>
      <c r="BA5" s="1833"/>
      <c r="BB5" s="1833"/>
      <c r="BC5" s="1834"/>
      <c r="BD5" s="1780" t="s">
        <v>149</v>
      </c>
      <c r="BE5" s="1781"/>
      <c r="BF5" s="1781"/>
      <c r="BG5" s="1782"/>
      <c r="BH5" s="1774" t="s">
        <v>187</v>
      </c>
      <c r="BI5" s="1774" t="s">
        <v>188</v>
      </c>
      <c r="BJ5" s="1830" t="s">
        <v>268</v>
      </c>
      <c r="BK5" s="1791" t="s">
        <v>271</v>
      </c>
      <c r="BL5" s="1791" t="s">
        <v>278</v>
      </c>
      <c r="BM5" s="1827" t="s">
        <v>405</v>
      </c>
      <c r="BN5" s="1604"/>
      <c r="BO5" s="1605"/>
      <c r="BP5" s="1604"/>
      <c r="BQ5" s="1605"/>
      <c r="BR5" s="1604"/>
      <c r="BS5" s="1605"/>
      <c r="BT5" s="1604"/>
      <c r="BU5" s="1605"/>
      <c r="BV5" s="1788" t="s">
        <v>342</v>
      </c>
      <c r="BW5" s="1794" t="s">
        <v>320</v>
      </c>
      <c r="BX5" s="1794" t="s">
        <v>321</v>
      </c>
      <c r="BY5" s="1777" t="s">
        <v>329</v>
      </c>
      <c r="BZ5" s="1777" t="s">
        <v>455</v>
      </c>
      <c r="CA5" s="1764" t="s">
        <v>358</v>
      </c>
      <c r="CB5" s="1764" t="s">
        <v>349</v>
      </c>
      <c r="CC5" s="1764" t="s">
        <v>350</v>
      </c>
      <c r="CD5" s="1764" t="s">
        <v>351</v>
      </c>
      <c r="CE5" s="1752" t="s">
        <v>362</v>
      </c>
      <c r="CF5" s="1752" t="s">
        <v>341</v>
      </c>
      <c r="CG5" s="1752" t="s">
        <v>339</v>
      </c>
      <c r="CH5" s="1752" t="s">
        <v>340</v>
      </c>
      <c r="CI5" s="1768" t="s">
        <v>368</v>
      </c>
      <c r="CJ5" s="1768" t="s">
        <v>369</v>
      </c>
      <c r="CK5" s="1743" t="s">
        <v>540</v>
      </c>
      <c r="CL5" s="1743" t="s">
        <v>541</v>
      </c>
      <c r="CM5" s="1743" t="s">
        <v>579</v>
      </c>
      <c r="CN5" s="1765" t="s">
        <v>477</v>
      </c>
      <c r="CO5" s="1765" t="s">
        <v>470</v>
      </c>
      <c r="CP5" s="1765" t="s">
        <v>476</v>
      </c>
      <c r="CQ5" s="1758" t="s">
        <v>475</v>
      </c>
      <c r="CR5" s="1758" t="s">
        <v>475</v>
      </c>
      <c r="CS5" s="1752" t="s">
        <v>496</v>
      </c>
      <c r="CT5" s="1752" t="s">
        <v>499</v>
      </c>
      <c r="CU5" s="1752" t="s">
        <v>286</v>
      </c>
      <c r="CV5" s="1752" t="s">
        <v>397</v>
      </c>
      <c r="CW5" s="1752" t="s">
        <v>429</v>
      </c>
      <c r="CX5" s="1752" t="s">
        <v>440</v>
      </c>
      <c r="CY5" s="1752" t="s">
        <v>566</v>
      </c>
      <c r="CZ5" s="1752" t="s">
        <v>567</v>
      </c>
      <c r="DA5" s="1752" t="s">
        <v>568</v>
      </c>
      <c r="DB5" s="1724" t="s">
        <v>251</v>
      </c>
      <c r="DC5" s="1724" t="s">
        <v>252</v>
      </c>
      <c r="DD5" s="1724" t="s">
        <v>253</v>
      </c>
      <c r="DE5" s="1755" t="s">
        <v>224</v>
      </c>
      <c r="DF5" s="1755" t="s">
        <v>521</v>
      </c>
      <c r="DG5" s="1752" t="s">
        <v>581</v>
      </c>
      <c r="DH5" s="1743" t="s">
        <v>540</v>
      </c>
      <c r="DI5" s="1743" t="s">
        <v>541</v>
      </c>
      <c r="DJ5" s="1743" t="s">
        <v>578</v>
      </c>
      <c r="DK5" s="1743" t="s">
        <v>631</v>
      </c>
      <c r="DL5" s="1743" t="s">
        <v>635</v>
      </c>
      <c r="DM5" s="1742" t="s">
        <v>699</v>
      </c>
      <c r="DN5" s="1742" t="s">
        <v>700</v>
      </c>
      <c r="DO5" s="1742" t="s">
        <v>701</v>
      </c>
      <c r="DP5" s="1742" t="s">
        <v>702</v>
      </c>
      <c r="DQ5" s="1742" t="s">
        <v>703</v>
      </c>
      <c r="DR5" s="1742" t="s">
        <v>704</v>
      </c>
      <c r="DS5" s="1742" t="s">
        <v>705</v>
      </c>
      <c r="DT5" s="1742" t="s">
        <v>706</v>
      </c>
      <c r="DU5" s="1761" t="s">
        <v>707</v>
      </c>
      <c r="DV5" s="1749" t="s">
        <v>708</v>
      </c>
      <c r="DW5" s="1746" t="s">
        <v>709</v>
      </c>
      <c r="DX5" s="1742" t="s">
        <v>710</v>
      </c>
      <c r="DY5" s="1730" t="s">
        <v>711</v>
      </c>
      <c r="DZ5" s="1746" t="s">
        <v>712</v>
      </c>
      <c r="EA5" s="1730" t="s">
        <v>713</v>
      </c>
      <c r="EB5" s="1739" t="s">
        <v>773</v>
      </c>
      <c r="EC5" s="1739" t="s">
        <v>774</v>
      </c>
      <c r="ED5" s="1739" t="s">
        <v>775</v>
      </c>
      <c r="EE5" s="1739" t="s">
        <v>815</v>
      </c>
      <c r="EF5" s="1739" t="s">
        <v>819</v>
      </c>
      <c r="EG5" s="1730" t="s">
        <v>817</v>
      </c>
      <c r="EH5" s="1730" t="s">
        <v>818</v>
      </c>
      <c r="EI5" s="1730" t="s">
        <v>777</v>
      </c>
      <c r="EJ5" s="1730" t="s">
        <v>778</v>
      </c>
      <c r="EK5" s="1727" t="s">
        <v>866</v>
      </c>
      <c r="EL5" s="1733" t="s">
        <v>884</v>
      </c>
      <c r="EM5" s="1734"/>
      <c r="EN5" s="1735"/>
      <c r="EO5" s="1724" t="s">
        <v>990</v>
      </c>
      <c r="EP5" s="1724" t="s">
        <v>992</v>
      </c>
      <c r="EQ5" s="1724" t="s">
        <v>993</v>
      </c>
      <c r="ER5" s="1724" t="s">
        <v>999</v>
      </c>
      <c r="ES5" s="1724" t="s">
        <v>1009</v>
      </c>
      <c r="ET5" s="1721" t="s">
        <v>1126</v>
      </c>
      <c r="EU5" s="1721" t="s">
        <v>1127</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147</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989</v>
      </c>
      <c r="B7" s="1801"/>
      <c r="C7" s="1804"/>
      <c r="D7" s="69" t="s">
        <v>510</v>
      </c>
      <c r="E7" s="70" t="s">
        <v>166</v>
      </c>
      <c r="F7" s="70" t="s">
        <v>165</v>
      </c>
      <c r="G7" s="131" t="s">
        <v>48</v>
      </c>
      <c r="H7" s="132" t="s">
        <v>511</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885</v>
      </c>
      <c r="EM7" s="854" t="s">
        <v>126</v>
      </c>
      <c r="EN7" s="854" t="s">
        <v>127</v>
      </c>
      <c r="EO7" s="1726"/>
      <c r="EP7" s="1726"/>
      <c r="EQ7" s="1726"/>
      <c r="ER7" s="1726"/>
      <c r="ES7" s="1726"/>
      <c r="ET7" s="1723"/>
      <c r="EU7" s="1723"/>
    </row>
    <row r="8" spans="1:151"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632</v>
      </c>
      <c r="DL8" s="536" t="s">
        <v>633</v>
      </c>
      <c r="DM8" s="536" t="s">
        <v>714</v>
      </c>
      <c r="DN8" s="536" t="s">
        <v>715</v>
      </c>
      <c r="DO8" s="536" t="s">
        <v>716</v>
      </c>
      <c r="DP8" s="536" t="s">
        <v>717</v>
      </c>
      <c r="DQ8" s="536" t="s">
        <v>718</v>
      </c>
      <c r="DR8" s="536" t="s">
        <v>719</v>
      </c>
      <c r="DS8" s="536" t="s">
        <v>720</v>
      </c>
      <c r="DT8" s="536" t="s">
        <v>721</v>
      </c>
      <c r="DU8" s="542" t="s">
        <v>722</v>
      </c>
      <c r="DV8" s="536" t="s">
        <v>723</v>
      </c>
      <c r="DW8" s="536" t="s">
        <v>724</v>
      </c>
      <c r="DX8" s="536" t="s">
        <v>725</v>
      </c>
      <c r="DY8" s="536" t="s">
        <v>726</v>
      </c>
      <c r="DZ8" s="536" t="s">
        <v>727</v>
      </c>
      <c r="EA8" s="536" t="s">
        <v>728</v>
      </c>
      <c r="EB8" s="536" t="s">
        <v>785</v>
      </c>
      <c r="EC8" s="536" t="s">
        <v>786</v>
      </c>
      <c r="ED8" s="536" t="s">
        <v>787</v>
      </c>
      <c r="EE8" s="536" t="s">
        <v>788</v>
      </c>
      <c r="EF8" s="536" t="s">
        <v>789</v>
      </c>
      <c r="EG8" s="536" t="s">
        <v>790</v>
      </c>
      <c r="EH8" s="536" t="s">
        <v>791</v>
      </c>
      <c r="EI8" s="536" t="s">
        <v>792</v>
      </c>
      <c r="EJ8" s="536" t="s">
        <v>793</v>
      </c>
      <c r="EK8" s="536" t="s">
        <v>867</v>
      </c>
      <c r="EL8" s="855" t="s">
        <v>886</v>
      </c>
      <c r="EM8" s="855" t="s">
        <v>887</v>
      </c>
      <c r="EN8" s="855" t="s">
        <v>888</v>
      </c>
      <c r="EO8" s="53" t="s">
        <v>991</v>
      </c>
      <c r="EP8" s="53" t="s">
        <v>997</v>
      </c>
      <c r="EQ8" s="536" t="s">
        <v>998</v>
      </c>
      <c r="ER8" s="536">
        <v>148</v>
      </c>
      <c r="ES8" s="536" t="s">
        <v>1010</v>
      </c>
      <c r="ET8" s="1522" t="s">
        <v>1128</v>
      </c>
      <c r="EU8" s="1522" t="s">
        <v>1129</v>
      </c>
    </row>
    <row r="9" spans="1:151" ht="14.25" customHeight="1">
      <c r="A9" s="20" t="s">
        <v>69</v>
      </c>
      <c r="B9" s="21" t="s">
        <v>512</v>
      </c>
      <c r="C9" s="22" t="s">
        <v>8</v>
      </c>
      <c r="D9" s="23" t="s">
        <v>25</v>
      </c>
      <c r="E9" s="21" t="s">
        <v>26</v>
      </c>
      <c r="F9" s="21">
        <v>32</v>
      </c>
      <c r="G9" s="6"/>
      <c r="H9" s="146" t="s">
        <v>313</v>
      </c>
      <c r="I9" s="193" t="s">
        <v>1085</v>
      </c>
      <c r="J9" s="194" t="s">
        <v>1066</v>
      </c>
      <c r="K9" s="194" t="s">
        <v>1086</v>
      </c>
      <c r="L9" s="194" t="s">
        <v>1105</v>
      </c>
      <c r="M9" s="194" t="s">
        <v>645</v>
      </c>
      <c r="N9" s="194" t="s">
        <v>661</v>
      </c>
      <c r="O9" s="194" t="s">
        <v>281</v>
      </c>
      <c r="P9" s="194" t="s">
        <v>54</v>
      </c>
      <c r="Q9" s="194" t="s">
        <v>55</v>
      </c>
      <c r="R9" s="194" t="s">
        <v>122</v>
      </c>
      <c r="S9" s="194"/>
      <c r="T9" s="194"/>
      <c r="U9" s="194"/>
      <c r="V9" s="194"/>
      <c r="W9" s="194"/>
      <c r="X9" s="201"/>
      <c r="Y9" s="204" t="s">
        <v>174</v>
      </c>
      <c r="Z9" s="194" t="s">
        <v>175</v>
      </c>
      <c r="AA9" s="194" t="s">
        <v>176</v>
      </c>
      <c r="AB9" s="194" t="s">
        <v>177</v>
      </c>
      <c r="AC9" s="194"/>
      <c r="AD9" s="194"/>
      <c r="AE9" s="194"/>
      <c r="AF9" s="201"/>
      <c r="AG9" s="204"/>
      <c r="AH9" s="194"/>
      <c r="AI9" s="194"/>
      <c r="AJ9" s="205"/>
      <c r="AK9" s="193"/>
      <c r="AL9" s="194"/>
      <c r="AM9" s="194"/>
      <c r="AN9" s="201"/>
      <c r="AO9" s="282">
        <v>0</v>
      </c>
      <c r="AP9" s="167">
        <v>0</v>
      </c>
      <c r="AQ9" s="167">
        <v>0</v>
      </c>
      <c r="AR9" s="206">
        <v>0</v>
      </c>
      <c r="AS9" s="380" t="s">
        <v>1064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1065</v>
      </c>
      <c r="EP9" s="1336"/>
      <c r="EQ9" s="1336"/>
      <c r="ER9" s="1341">
        <v>1200</v>
      </c>
      <c r="ES9" s="1336"/>
      <c r="ET9" s="1523"/>
      <c r="EU9" s="1523"/>
    </row>
    <row r="10" spans="1:151" ht="14.25" customHeight="1">
      <c r="A10" s="20" t="s">
        <v>183</v>
      </c>
      <c r="B10" s="21" t="s">
        <v>512</v>
      </c>
      <c r="C10" s="22" t="s">
        <v>8</v>
      </c>
      <c r="D10" s="23" t="s">
        <v>111</v>
      </c>
      <c r="E10" s="21" t="s">
        <v>111</v>
      </c>
      <c r="F10" s="21" t="s">
        <v>178</v>
      </c>
      <c r="G10" s="6"/>
      <c r="H10" s="28"/>
      <c r="I10" s="193">
        <v>41</v>
      </c>
      <c r="J10" s="194">
        <v>9</v>
      </c>
      <c r="K10" s="194">
        <v>14</v>
      </c>
      <c r="L10" s="194">
        <v>36</v>
      </c>
      <c r="M10" s="194">
        <v>6</v>
      </c>
      <c r="N10" s="194">
        <v>4</v>
      </c>
      <c r="O10" s="194">
        <v>4</v>
      </c>
      <c r="P10" s="194">
        <v>0</v>
      </c>
      <c r="Q10" s="194">
        <v>0</v>
      </c>
      <c r="R10" s="194">
        <v>0</v>
      </c>
      <c r="S10" s="194">
        <v>59</v>
      </c>
      <c r="T10" s="194">
        <v>23</v>
      </c>
      <c r="U10" s="194">
        <v>20</v>
      </c>
      <c r="V10" s="194">
        <v>62</v>
      </c>
      <c r="W10" s="194">
        <v>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1058</v>
      </c>
      <c r="AT10" s="205"/>
      <c r="AU10" s="213"/>
      <c r="AV10" s="205"/>
      <c r="AW10" s="213"/>
      <c r="AX10" s="205"/>
      <c r="AY10" s="138">
        <f t="shared" ref="AY10:BC10" si="0">IF(ISNUMBER(S10),S10," - ")</f>
        <v>59</v>
      </c>
      <c r="AZ10" s="139">
        <f t="shared" si="0"/>
        <v>23</v>
      </c>
      <c r="BA10" s="139">
        <f t="shared" si="0"/>
        <v>20</v>
      </c>
      <c r="BB10" s="139">
        <f t="shared" si="0"/>
        <v>62</v>
      </c>
      <c r="BC10" s="135">
        <f t="shared" si="0"/>
        <v>6</v>
      </c>
      <c r="BD10" s="136">
        <f>IF(ISNUMBER(BA10/AZ10),BA10/AZ10," - ")</f>
        <v>0.86956521739130432</v>
      </c>
      <c r="BE10" s="137">
        <f>IF(ISNUMBER(BB10/BA10),BB10/BA10, " - ")</f>
        <v>3.1</v>
      </c>
      <c r="BF10" s="137">
        <f>IF(ISNUMBER(BC10/BA10),BC10/BA10, " - ")</f>
        <v>0.3</v>
      </c>
      <c r="BG10" s="209">
        <f>IF(ISNUMBER((AY10+AZ10)/BA10),(AY10+AZ10)/BA10," - ")</f>
        <v>4.0999999999999996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1032</v>
      </c>
      <c r="EP10" s="381"/>
      <c r="EQ10" s="381"/>
      <c r="ER10" s="1342">
        <v>1600</v>
      </c>
      <c r="ES10" s="381"/>
      <c r="ET10" s="1523"/>
      <c r="EU10" s="1523"/>
    </row>
    <row r="11" spans="1:151" ht="14.25" customHeight="1" thickBot="1">
      <c r="A11" s="20" t="s">
        <v>513</v>
      </c>
      <c r="B11" s="21" t="s">
        <v>512</v>
      </c>
      <c r="C11" s="22" t="s">
        <v>8</v>
      </c>
      <c r="D11" s="23" t="s">
        <v>25</v>
      </c>
      <c r="E11" s="21" t="s">
        <v>75</v>
      </c>
      <c r="F11" s="21">
        <v>32</v>
      </c>
      <c r="G11" s="6"/>
      <c r="H11" s="28" t="s">
        <v>49</v>
      </c>
      <c r="I11" s="195" t="s">
        <v>1085</v>
      </c>
      <c r="J11" s="196" t="s">
        <v>1066</v>
      </c>
      <c r="K11" s="196" t="s">
        <v>1086</v>
      </c>
      <c r="L11" s="196" t="s">
        <v>1105</v>
      </c>
      <c r="M11" s="196" t="s">
        <v>645</v>
      </c>
      <c r="N11" s="196" t="s">
        <v>661</v>
      </c>
      <c r="O11" s="194" t="s">
        <v>281</v>
      </c>
      <c r="P11" s="196" t="s">
        <v>54</v>
      </c>
      <c r="Q11" s="196" t="s">
        <v>55</v>
      </c>
      <c r="R11" s="196" t="s">
        <v>122</v>
      </c>
      <c r="S11" s="196"/>
      <c r="T11" s="196"/>
      <c r="U11" s="196"/>
      <c r="V11" s="196"/>
      <c r="W11" s="196"/>
      <c r="X11" s="202"/>
      <c r="Y11" s="204" t="s">
        <v>174</v>
      </c>
      <c r="Z11" s="194" t="s">
        <v>175</v>
      </c>
      <c r="AA11" s="194" t="s">
        <v>176</v>
      </c>
      <c r="AB11" s="194" t="s">
        <v>177</v>
      </c>
      <c r="AC11" s="196"/>
      <c r="AD11" s="196"/>
      <c r="AE11" s="196"/>
      <c r="AF11" s="202"/>
      <c r="AG11" s="215"/>
      <c r="AH11" s="196"/>
      <c r="AI11" s="196"/>
      <c r="AJ11" s="216"/>
      <c r="AK11" s="195"/>
      <c r="AL11" s="196"/>
      <c r="AM11" s="196"/>
      <c r="AN11" s="202"/>
      <c r="AO11" s="283">
        <v>0</v>
      </c>
      <c r="AP11" s="168">
        <v>0</v>
      </c>
      <c r="AQ11" s="168">
        <v>0</v>
      </c>
      <c r="AR11" s="167">
        <v>0</v>
      </c>
      <c r="AS11" s="382" t="s">
        <v>1067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1068</v>
      </c>
      <c r="EP11" s="1337"/>
      <c r="EQ11" s="1337"/>
      <c r="ER11" s="1343">
        <v>1323</v>
      </c>
      <c r="ES11" s="1337"/>
      <c r="ET11" s="1523"/>
      <c r="EU11" s="1523"/>
    </row>
    <row r="12" spans="1:151" ht="14.25" customHeight="1">
      <c r="A12" s="20" t="s">
        <v>514</v>
      </c>
      <c r="B12" s="21" t="s">
        <v>512</v>
      </c>
      <c r="C12" s="22" t="s">
        <v>8</v>
      </c>
      <c r="D12" s="23" t="s">
        <v>25</v>
      </c>
      <c r="E12" s="21" t="s">
        <v>25</v>
      </c>
      <c r="F12" s="21">
        <v>31</v>
      </c>
      <c r="G12" s="6"/>
      <c r="H12" s="229"/>
      <c r="I12" s="195">
        <v>1510</v>
      </c>
      <c r="J12" s="196">
        <v>649</v>
      </c>
      <c r="K12" s="196">
        <v>591</v>
      </c>
      <c r="L12" s="196">
        <v>1639</v>
      </c>
      <c r="M12" s="196">
        <v>87</v>
      </c>
      <c r="N12" s="196">
        <v>168</v>
      </c>
      <c r="O12" s="194">
        <v>461</v>
      </c>
      <c r="P12" s="196">
        <v>167</v>
      </c>
      <c r="Q12" s="196">
        <v>306</v>
      </c>
      <c r="R12" s="196">
        <v>3351</v>
      </c>
      <c r="S12" s="196">
        <v>1416</v>
      </c>
      <c r="T12" s="196">
        <v>606</v>
      </c>
      <c r="U12" s="196">
        <v>586</v>
      </c>
      <c r="V12" s="196">
        <v>1436</v>
      </c>
      <c r="W12" s="196">
        <v>105</v>
      </c>
      <c r="X12" s="202">
        <v>220</v>
      </c>
      <c r="Y12" s="204">
        <v>113</v>
      </c>
      <c r="Z12" s="194">
        <v>57</v>
      </c>
      <c r="AA12" s="194">
        <v>48</v>
      </c>
      <c r="AB12" s="194">
        <v>122</v>
      </c>
      <c r="AC12" s="196">
        <v>0</v>
      </c>
      <c r="AD12" s="196">
        <v>0</v>
      </c>
      <c r="AE12" s="196">
        <v>0</v>
      </c>
      <c r="AF12" s="202">
        <v>0</v>
      </c>
      <c r="AG12" s="215">
        <v>106</v>
      </c>
      <c r="AH12" s="196">
        <v>98</v>
      </c>
      <c r="AI12" s="196">
        <v>90</v>
      </c>
      <c r="AJ12" s="216">
        <v>114</v>
      </c>
      <c r="AK12" s="195">
        <v>0</v>
      </c>
      <c r="AL12" s="196">
        <v>0</v>
      </c>
      <c r="AM12" s="196">
        <v>0</v>
      </c>
      <c r="AN12" s="202">
        <v>0</v>
      </c>
      <c r="AO12" s="283">
        <v>5</v>
      </c>
      <c r="AP12" s="168">
        <v>5</v>
      </c>
      <c r="AQ12" s="168">
        <v>5</v>
      </c>
      <c r="AR12" s="167">
        <v>5</v>
      </c>
      <c r="AS12" s="382" t="s">
        <v>1069</v>
      </c>
      <c r="AT12" s="216"/>
      <c r="AU12" s="215"/>
      <c r="AV12" s="216"/>
      <c r="AW12" s="215"/>
      <c r="AX12" s="216"/>
      <c r="AY12" s="136">
        <f t="shared" si="1"/>
        <v>1522</v>
      </c>
      <c r="AZ12" s="137">
        <f t="shared" si="1"/>
        <v>704</v>
      </c>
      <c r="BA12" s="137">
        <f t="shared" si="1"/>
        <v>676</v>
      </c>
      <c r="BB12" s="137">
        <f t="shared" si="1"/>
        <v>1550</v>
      </c>
      <c r="BC12" s="135">
        <f>IF(ISNUMBER(X12),X12," - ")</f>
        <v>220</v>
      </c>
      <c r="BD12" s="136">
        <f t="shared" si="2"/>
        <v>0.96022727272727271</v>
      </c>
      <c r="BE12" s="137">
        <f t="shared" si="3"/>
        <v>2.2928994082840237</v>
      </c>
      <c r="BF12" s="137">
        <f t="shared" si="4"/>
        <v>0.32544378698224852</v>
      </c>
      <c r="BG12" s="209">
        <f t="shared" si="5"/>
        <v>3.2928994082840237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1070</v>
      </c>
      <c r="EP12" s="1338"/>
      <c r="EQ12" s="1338"/>
      <c r="ER12" s="1341">
        <v>680</v>
      </c>
      <c r="ES12" s="1338"/>
      <c r="ET12" s="1523"/>
      <c r="EU12" s="1523"/>
    </row>
    <row r="13" spans="1:151" ht="14.25" customHeight="1">
      <c r="A13" s="20" t="s">
        <v>139</v>
      </c>
      <c r="B13" s="21" t="s">
        <v>512</v>
      </c>
      <c r="C13" s="22" t="s">
        <v>8</v>
      </c>
      <c r="D13" s="23" t="s">
        <v>28</v>
      </c>
      <c r="E13" s="21" t="s">
        <v>28</v>
      </c>
      <c r="F13" s="21" t="s">
        <v>101</v>
      </c>
      <c r="G13" s="6"/>
      <c r="H13" s="229"/>
      <c r="I13" s="195">
        <v>0</v>
      </c>
      <c r="J13" s="196">
        <v>0</v>
      </c>
      <c r="K13" s="196">
        <v>0</v>
      </c>
      <c r="L13" s="196">
        <v>0</v>
      </c>
      <c r="M13" s="196">
        <v>0</v>
      </c>
      <c r="N13" s="196">
        <v>3</v>
      </c>
      <c r="O13" s="196">
        <v>0</v>
      </c>
      <c r="P13" s="196">
        <v>0</v>
      </c>
      <c r="Q13" s="196">
        <v>0</v>
      </c>
      <c r="R13" s="196">
        <v>0</v>
      </c>
      <c r="S13" s="196">
        <v>0</v>
      </c>
      <c r="T13" s="196">
        <v>0</v>
      </c>
      <c r="U13" s="196">
        <v>0</v>
      </c>
      <c r="V13" s="196">
        <v>0</v>
      </c>
      <c r="W13" s="196">
        <v>0</v>
      </c>
      <c r="X13" s="202">
        <v>14</v>
      </c>
      <c r="Y13" s="215">
        <v>0</v>
      </c>
      <c r="Z13" s="196">
        <v>0</v>
      </c>
      <c r="AA13" s="196">
        <v>0</v>
      </c>
      <c r="AB13" s="196">
        <v>0</v>
      </c>
      <c r="AC13" s="196">
        <v>0</v>
      </c>
      <c r="AD13" s="196">
        <v>0</v>
      </c>
      <c r="AE13" s="196">
        <v>0</v>
      </c>
      <c r="AF13" s="202">
        <v>0</v>
      </c>
      <c r="AG13" s="215">
        <v>0</v>
      </c>
      <c r="AH13" s="196">
        <v>0</v>
      </c>
      <c r="AI13" s="196">
        <v>0</v>
      </c>
      <c r="AJ13" s="216">
        <v>0</v>
      </c>
      <c r="AK13" s="195">
        <v>0</v>
      </c>
      <c r="AL13" s="196">
        <v>0</v>
      </c>
      <c r="AM13" s="196">
        <v>0</v>
      </c>
      <c r="AN13" s="202">
        <v>0</v>
      </c>
      <c r="AO13" s="283">
        <v>1</v>
      </c>
      <c r="AP13" s="168">
        <v>1</v>
      </c>
      <c r="AQ13" s="168">
        <v>1</v>
      </c>
      <c r="AR13" s="168">
        <v>1</v>
      </c>
      <c r="AS13" s="382" t="str">
        <f>IF( Año&lt;2006,"TCIVI251","")</f>
        <v/>
      </c>
      <c r="AT13" s="216"/>
      <c r="AU13" s="215"/>
      <c r="AV13" s="216"/>
      <c r="AW13" s="215"/>
      <c r="AX13" s="216"/>
      <c r="AY13" s="138">
        <f t="shared" ref="AY13:BC13" si="6">IF(ISNUMBER(S13),S13," - ")</f>
        <v>0</v>
      </c>
      <c r="AZ13" s="139">
        <f t="shared" si="6"/>
        <v>0</v>
      </c>
      <c r="BA13" s="139">
        <f t="shared" si="6"/>
        <v>0</v>
      </c>
      <c r="BB13" s="139">
        <f t="shared" si="6"/>
        <v>0</v>
      </c>
      <c r="BC13" s="135">
        <f t="shared" si="6"/>
        <v>0</v>
      </c>
      <c r="BD13" s="136" t="str">
        <f t="shared" si="2"/>
        <v xml:space="preserve"> - </v>
      </c>
      <c r="BE13" s="137" t="str">
        <f t="shared" si="3"/>
        <v xml:space="preserve"> - </v>
      </c>
      <c r="BF13" s="137" t="str">
        <f t="shared" si="4"/>
        <v xml:space="preserve"> - </v>
      </c>
      <c r="BG13" s="209" t="str">
        <f t="shared" si="5"/>
        <v xml:space="preserve"> - </v>
      </c>
      <c r="BH13" s="168">
        <v>1</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512</v>
      </c>
      <c r="C14" s="79" t="s">
        <v>9</v>
      </c>
      <c r="D14" s="80"/>
      <c r="E14" s="81"/>
      <c r="F14" s="81"/>
      <c r="G14" s="82"/>
      <c r="H14" s="83"/>
      <c r="I14" s="197">
        <f t="shared" ref="I14:AE14" si="7">SUBTOTAL(9,I8:I13)</f>
        <v>1551</v>
      </c>
      <c r="J14" s="197">
        <f t="shared" si="7"/>
        <v>658</v>
      </c>
      <c r="K14" s="197">
        <f t="shared" si="7"/>
        <v>605</v>
      </c>
      <c r="L14" s="197">
        <f t="shared" si="7"/>
        <v>1675</v>
      </c>
      <c r="M14" s="197">
        <f t="shared" si="7"/>
        <v>93</v>
      </c>
      <c r="N14" s="197">
        <f t="shared" si="7"/>
        <v>175</v>
      </c>
      <c r="O14" s="197">
        <f t="shared" si="7"/>
        <v>465</v>
      </c>
      <c r="P14" s="197">
        <f t="shared" si="7"/>
        <v>167</v>
      </c>
      <c r="Q14" s="197">
        <f t="shared" si="7"/>
        <v>306</v>
      </c>
      <c r="R14" s="197">
        <f t="shared" si="7"/>
        <v>3351</v>
      </c>
      <c r="S14" s="197">
        <f t="shared" si="7"/>
        <v>1475</v>
      </c>
      <c r="T14" s="197">
        <f t="shared" si="7"/>
        <v>629</v>
      </c>
      <c r="U14" s="197">
        <f t="shared" si="7"/>
        <v>606</v>
      </c>
      <c r="V14" s="197">
        <f t="shared" si="7"/>
        <v>1498</v>
      </c>
      <c r="W14" s="197">
        <f t="shared" si="7"/>
        <v>111</v>
      </c>
      <c r="X14" s="197">
        <f t="shared" si="7"/>
        <v>242</v>
      </c>
      <c r="Y14" s="197">
        <f t="shared" si="7"/>
        <v>113</v>
      </c>
      <c r="Z14" s="197">
        <f t="shared" si="7"/>
        <v>57</v>
      </c>
      <c r="AA14" s="197">
        <f t="shared" si="7"/>
        <v>48</v>
      </c>
      <c r="AB14" s="197">
        <f t="shared" si="7"/>
        <v>122</v>
      </c>
      <c r="AC14" s="197">
        <f t="shared" si="7"/>
        <v>0</v>
      </c>
      <c r="AD14" s="197">
        <f t="shared" si="7"/>
        <v>0</v>
      </c>
      <c r="AE14" s="197">
        <f t="shared" si="7"/>
        <v>0</v>
      </c>
      <c r="AF14" s="197">
        <f>SUBTOTAL(9,AF9:AF13)</f>
        <v>0</v>
      </c>
      <c r="AG14" s="197">
        <f t="shared" ref="AG14:AT14" si="8">SUBTOTAL(9,AG8:AG13)</f>
        <v>106</v>
      </c>
      <c r="AH14" s="197">
        <f t="shared" si="8"/>
        <v>98</v>
      </c>
      <c r="AI14" s="197">
        <f t="shared" si="8"/>
        <v>90</v>
      </c>
      <c r="AJ14" s="197">
        <f t="shared" si="8"/>
        <v>114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1581</v>
      </c>
      <c r="AZ14" s="197">
        <f>SUBTOTAL(9,AZ8:AZ13)</f>
        <v>727</v>
      </c>
      <c r="BA14" s="197">
        <f>SUBTOTAL(9,BA8:BA13)</f>
        <v>696</v>
      </c>
      <c r="BB14" s="197">
        <f>SUBTOTAL(9,BB8:BB13)</f>
        <v>1612</v>
      </c>
      <c r="BC14" s="197">
        <f>SUBTOTAL(9,BC8:BC13)</f>
        <v>226</v>
      </c>
      <c r="BD14" s="219">
        <f>IF(ISNUMBER(BA14/AZ14),BA14/AZ14," - ")</f>
        <v>0.95735900962861076</v>
      </c>
      <c r="BE14" s="220">
        <f>IF(ISNUMBER(BB14/BA14),BB14/BA14, " - ")</f>
        <v>2.3160919540229883</v>
      </c>
      <c r="BF14" s="220">
        <f>IF(ISNUMBER(BC14/BA14),BC14/BA14, " - ")</f>
        <v>0.32471264367816094</v>
      </c>
      <c r="BG14" s="221">
        <f>IF(ISNUMBER((AY14+AZ14)/BA14),(AY14+AZ14)/BA14," - ")</f>
        <v>3.3160919540229883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515</v>
      </c>
      <c r="B16" s="21" t="s">
        <v>512</v>
      </c>
      <c r="C16" s="22" t="s">
        <v>8</v>
      </c>
      <c r="D16" s="23" t="s">
        <v>25</v>
      </c>
      <c r="E16" s="21" t="s">
        <v>27</v>
      </c>
      <c r="F16" s="21">
        <v>33</v>
      </c>
      <c r="G16" s="6"/>
      <c r="H16" s="24"/>
      <c r="I16" s="195" t="s">
        <v>643</v>
      </c>
      <c r="J16" s="196" t="s">
        <v>639</v>
      </c>
      <c r="K16" s="196" t="s">
        <v>640</v>
      </c>
      <c r="L16" s="196" t="s">
        <v>641</v>
      </c>
      <c r="M16" s="196" t="s">
        <v>647</v>
      </c>
      <c r="N16" s="196" t="s">
        <v>195</v>
      </c>
      <c r="O16" s="194" t="s">
        <v>282</v>
      </c>
      <c r="P16" s="196" t="s">
        <v>625</v>
      </c>
      <c r="Q16" s="196" t="s">
        <v>626</v>
      </c>
      <c r="R16" s="196" t="s">
        <v>627</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689</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1071</v>
      </c>
      <c r="EP16" s="1337"/>
      <c r="EQ16" s="1337"/>
      <c r="ER16" s="1343">
        <v>3300</v>
      </c>
      <c r="ES16" s="1337"/>
      <c r="ET16" s="1523"/>
      <c r="EU16" s="1523"/>
    </row>
    <row r="17" spans="1:151" ht="14.25" customHeight="1">
      <c r="A17" s="7" t="s">
        <v>514</v>
      </c>
      <c r="B17" s="21" t="s">
        <v>512</v>
      </c>
      <c r="C17" s="22" t="s">
        <v>8</v>
      </c>
      <c r="D17" s="23" t="s">
        <v>25</v>
      </c>
      <c r="E17" s="21" t="s">
        <v>25</v>
      </c>
      <c r="F17" s="21">
        <v>31</v>
      </c>
      <c r="G17" s="6"/>
      <c r="H17" s="24"/>
      <c r="I17" s="195">
        <v>1914</v>
      </c>
      <c r="J17" s="196">
        <v>1304</v>
      </c>
      <c r="K17" s="196">
        <v>1305</v>
      </c>
      <c r="L17" s="196">
        <v>1919</v>
      </c>
      <c r="M17" s="196">
        <v>170</v>
      </c>
      <c r="N17" s="196">
        <v>790</v>
      </c>
      <c r="O17" s="194">
        <v>32</v>
      </c>
      <c r="P17" s="196">
        <v>22</v>
      </c>
      <c r="Q17" s="196">
        <v>96</v>
      </c>
      <c r="R17" s="196">
        <v>160</v>
      </c>
      <c r="S17" s="196">
        <v>1907</v>
      </c>
      <c r="T17" s="196">
        <v>1276</v>
      </c>
      <c r="U17" s="196">
        <v>1290</v>
      </c>
      <c r="V17" s="196">
        <v>1897</v>
      </c>
      <c r="W17" s="196">
        <v>161</v>
      </c>
      <c r="X17" s="202">
        <v>719</v>
      </c>
      <c r="Y17" s="215">
        <v>0</v>
      </c>
      <c r="Z17" s="196">
        <v>0</v>
      </c>
      <c r="AA17" s="196">
        <v>0</v>
      </c>
      <c r="AB17" s="196">
        <v>0</v>
      </c>
      <c r="AC17" s="196">
        <v>1</v>
      </c>
      <c r="AD17" s="196">
        <v>13</v>
      </c>
      <c r="AE17" s="196">
        <v>13</v>
      </c>
      <c r="AF17" s="202">
        <v>1</v>
      </c>
      <c r="AG17" s="215">
        <v>0</v>
      </c>
      <c r="AH17" s="196">
        <v>0</v>
      </c>
      <c r="AI17" s="196">
        <v>0</v>
      </c>
      <c r="AJ17" s="216">
        <v>0</v>
      </c>
      <c r="AK17" s="195">
        <v>1</v>
      </c>
      <c r="AL17" s="196">
        <v>10</v>
      </c>
      <c r="AM17" s="196">
        <v>10</v>
      </c>
      <c r="AN17" s="202">
        <v>1</v>
      </c>
      <c r="AO17" s="283">
        <v>5</v>
      </c>
      <c r="AP17" s="168">
        <v>5</v>
      </c>
      <c r="AQ17" s="168">
        <v>5</v>
      </c>
      <c r="AR17" s="168">
        <v>5</v>
      </c>
      <c r="AS17" s="382" t="s">
        <v>642</v>
      </c>
      <c r="AT17" s="216"/>
      <c r="AU17" s="215"/>
      <c r="AV17" s="216"/>
      <c r="AW17" s="215"/>
      <c r="AX17" s="216"/>
      <c r="AY17" s="136">
        <f t="shared" si="10"/>
        <v>1907</v>
      </c>
      <c r="AZ17" s="137">
        <f t="shared" si="10"/>
        <v>1276</v>
      </c>
      <c r="BA17" s="137">
        <f t="shared" si="10"/>
        <v>1290</v>
      </c>
      <c r="BB17" s="137">
        <f t="shared" si="10"/>
        <v>1897</v>
      </c>
      <c r="BC17" s="135">
        <f>IF(ISNUMBER(W17),W17," - ")</f>
        <v>161</v>
      </c>
      <c r="BD17" s="136">
        <f t="shared" ref="BD17:BD22" si="12">IF(ISNUMBER(BA17/AZ17),BA17/AZ17," - ")</f>
        <v>1.0109717868338557</v>
      </c>
      <c r="BE17" s="137">
        <f t="shared" ref="BE17:BE22" si="13">IF(ISNUMBER(BB17/BA17),BB17/BA17, " - ")</f>
        <v>1.4705426356589146</v>
      </c>
      <c r="BF17" s="137">
        <f t="shared" ref="BF17:BF22" si="14">IF(ISNUMBER(BC17/BA17),BC17/BA17, " - ")</f>
        <v>0.1248062015503876</v>
      </c>
      <c r="BG17" s="209">
        <f t="shared" si="11"/>
        <v>2.4674418604651165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1038</v>
      </c>
      <c r="EP17" s="1337"/>
      <c r="EQ17" s="1337"/>
      <c r="ER17" s="1343">
        <v>1000</v>
      </c>
      <c r="ES17" s="1337"/>
      <c r="ET17" s="1523"/>
      <c r="EU17" s="1523"/>
    </row>
    <row r="18" spans="1:151" ht="14.25" customHeight="1">
      <c r="A18" s="7" t="s">
        <v>183</v>
      </c>
      <c r="B18" s="21" t="s">
        <v>512</v>
      </c>
      <c r="C18" s="22" t="s">
        <v>8</v>
      </c>
      <c r="D18" s="23" t="s">
        <v>111</v>
      </c>
      <c r="E18" s="21" t="s">
        <v>111</v>
      </c>
      <c r="F18" s="21" t="s">
        <v>178</v>
      </c>
      <c r="G18" s="6"/>
      <c r="H18" s="24"/>
      <c r="I18" s="195">
        <v>80</v>
      </c>
      <c r="J18" s="196">
        <v>146</v>
      </c>
      <c r="K18" s="196">
        <v>144</v>
      </c>
      <c r="L18" s="196">
        <v>82</v>
      </c>
      <c r="M18" s="196">
        <v>13</v>
      </c>
      <c r="N18" s="196">
        <v>93</v>
      </c>
      <c r="O18" s="196">
        <v>0</v>
      </c>
      <c r="P18" s="196">
        <v>0</v>
      </c>
      <c r="Q18" s="196">
        <v>0</v>
      </c>
      <c r="R18" s="196">
        <v>9</v>
      </c>
      <c r="S18" s="196">
        <v>90</v>
      </c>
      <c r="T18" s="196">
        <v>154</v>
      </c>
      <c r="U18" s="196">
        <v>188</v>
      </c>
      <c r="V18" s="196">
        <v>56</v>
      </c>
      <c r="W18" s="196">
        <v>16</v>
      </c>
      <c r="X18" s="202">
        <v>112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1057</v>
      </c>
      <c r="AT18" s="223"/>
      <c r="AU18" s="213"/>
      <c r="AV18" s="223"/>
      <c r="AW18" s="213"/>
      <c r="AX18" s="223"/>
      <c r="AY18" s="138">
        <f t="shared" ref="AY18:BB19" si="15">IF(ISNUMBER(S18),S18," - ")</f>
        <v>90</v>
      </c>
      <c r="AZ18" s="139">
        <f t="shared" si="15"/>
        <v>154</v>
      </c>
      <c r="BA18" s="139">
        <f t="shared" si="15"/>
        <v>188</v>
      </c>
      <c r="BB18" s="139">
        <f t="shared" si="15"/>
        <v>56</v>
      </c>
      <c r="BC18" s="135">
        <f>IF(ISNUMBER(W18),W18," - ")</f>
        <v>16</v>
      </c>
      <c r="BD18" s="136">
        <f>IF(ISNUMBER(BA18/AZ18),BA18/AZ18," - ")</f>
        <v>1.2207792207792207</v>
      </c>
      <c r="BE18" s="137">
        <f>IF(ISNUMBER(BB18/BA18),BB18/BA18, " - ")</f>
        <v>0.2978723404255319</v>
      </c>
      <c r="BF18" s="137">
        <f>IF(ISNUMBER(BC18/BA18),BC18/BA18, " - ")</f>
        <v>8.5106382978723402E-2</v>
      </c>
      <c r="BG18" s="209">
        <f>IF(ISNUMBER((AY18+AZ18)/BA18),(AY18+AZ18)/BA18," - ")</f>
        <v>1.2978723404255319</v>
      </c>
      <c r="BH18" s="168">
        <v>1</v>
      </c>
      <c r="BI18" s="168"/>
      <c r="BJ18" s="213"/>
      <c r="BK18" s="167"/>
      <c r="BL18" s="167"/>
      <c r="BM18" s="167">
        <v>1800</v>
      </c>
      <c r="BN18" s="167"/>
      <c r="BO18" s="167"/>
      <c r="BP18" s="167"/>
      <c r="BQ18" s="167"/>
      <c r="BR18" s="167"/>
      <c r="BS18" s="167"/>
      <c r="BT18" s="167"/>
      <c r="BU18" s="167"/>
      <c r="BV18" s="167"/>
      <c r="BW18" s="167"/>
      <c r="BX18" s="167"/>
      <c r="BY18" s="187" t="s">
        <v>927</v>
      </c>
      <c r="BZ18" s="187" t="s">
        <v>928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1039</v>
      </c>
      <c r="EP18" s="381"/>
      <c r="EQ18" s="381"/>
      <c r="ER18" s="1342">
        <v>1600</v>
      </c>
      <c r="ES18" s="381"/>
      <c r="ET18" s="1523"/>
      <c r="EU18" s="1523"/>
    </row>
    <row r="19" spans="1:151" ht="14.25" customHeight="1">
      <c r="A19" s="7" t="s">
        <v>516</v>
      </c>
      <c r="B19" s="21" t="s">
        <v>512</v>
      </c>
      <c r="C19" s="22" t="s">
        <v>8</v>
      </c>
      <c r="D19" s="23" t="s">
        <v>28</v>
      </c>
      <c r="E19" s="21" t="s">
        <v>28</v>
      </c>
      <c r="F19" s="21">
        <v>26</v>
      </c>
      <c r="G19" s="6"/>
      <c r="H19" s="24"/>
      <c r="I19" s="195">
        <v>272</v>
      </c>
      <c r="J19" s="196">
        <v>54</v>
      </c>
      <c r="K19" s="196">
        <v>93</v>
      </c>
      <c r="L19" s="196">
        <v>233</v>
      </c>
      <c r="M19" s="196">
        <v>35</v>
      </c>
      <c r="N19" s="196">
        <v>51</v>
      </c>
      <c r="O19" s="196">
        <v>0</v>
      </c>
      <c r="P19" s="196">
        <v>29</v>
      </c>
      <c r="Q19" s="196">
        <v>32</v>
      </c>
      <c r="R19" s="196">
        <v>205</v>
      </c>
      <c r="S19" s="196">
        <v>314</v>
      </c>
      <c r="T19" s="196">
        <v>75</v>
      </c>
      <c r="U19" s="196">
        <v>60</v>
      </c>
      <c r="V19" s="196">
        <v>329</v>
      </c>
      <c r="W19" s="196">
        <v>38</v>
      </c>
      <c r="X19" s="202">
        <v>26</v>
      </c>
      <c r="Y19" s="215">
        <v>0</v>
      </c>
      <c r="Z19" s="196">
        <v>0</v>
      </c>
      <c r="AA19" s="196">
        <v>0</v>
      </c>
      <c r="AB19" s="196">
        <v>0</v>
      </c>
      <c r="AC19" s="196">
        <v>0</v>
      </c>
      <c r="AD19" s="196">
        <v>0</v>
      </c>
      <c r="AE19" s="196">
        <v>0</v>
      </c>
      <c r="AF19" s="202">
        <v>0</v>
      </c>
      <c r="AG19" s="215">
        <v>0</v>
      </c>
      <c r="AH19" s="196">
        <v>0</v>
      </c>
      <c r="AI19" s="196">
        <v>0</v>
      </c>
      <c r="AJ19" s="216">
        <v>0</v>
      </c>
      <c r="AK19" s="195">
        <v>0</v>
      </c>
      <c r="AL19" s="196">
        <v>0</v>
      </c>
      <c r="AM19" s="196">
        <v>0</v>
      </c>
      <c r="AN19" s="202">
        <v>0</v>
      </c>
      <c r="AO19" s="283">
        <v>1</v>
      </c>
      <c r="AP19" s="168">
        <v>1</v>
      </c>
      <c r="AQ19" s="168">
        <v>1</v>
      </c>
      <c r="AR19" s="168">
        <v>1</v>
      </c>
      <c r="AS19" s="382" t="s">
        <v>423</v>
      </c>
      <c r="AT19" s="216"/>
      <c r="AU19" s="215"/>
      <c r="AV19" s="216"/>
      <c r="AW19" s="215"/>
      <c r="AX19" s="216"/>
      <c r="AY19" s="138">
        <f t="shared" si="15"/>
        <v>314</v>
      </c>
      <c r="AZ19" s="139">
        <f t="shared" si="15"/>
        <v>75</v>
      </c>
      <c r="BA19" s="139">
        <f t="shared" si="15"/>
        <v>60</v>
      </c>
      <c r="BB19" s="139">
        <f t="shared" si="15"/>
        <v>329</v>
      </c>
      <c r="BC19" s="135">
        <f>IF(ISNUMBER(W19),W19," - ")</f>
        <v>38</v>
      </c>
      <c r="BD19" s="136">
        <f t="shared" si="12"/>
        <v>0.8</v>
      </c>
      <c r="BE19" s="137">
        <f t="shared" si="13"/>
        <v>5.4833333333333334</v>
      </c>
      <c r="BF19" s="137">
        <f t="shared" si="14"/>
        <v>0.6333333333333333</v>
      </c>
      <c r="BG19" s="209">
        <f t="shared" si="11"/>
        <v>6.4833333333333334</v>
      </c>
      <c r="BH19" s="168">
        <v>1</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1011</v>
      </c>
      <c r="EP19" s="1337"/>
      <c r="EQ19" s="1337"/>
      <c r="ER19" s="1343">
        <v>875</v>
      </c>
      <c r="ES19" s="1337"/>
      <c r="ET19" s="1523"/>
      <c r="EU19" s="1523"/>
    </row>
    <row r="20" spans="1:151" ht="13.9" customHeight="1">
      <c r="A20" s="7" t="s">
        <v>517</v>
      </c>
      <c r="B20" s="21" t="s">
        <v>512</v>
      </c>
      <c r="C20" s="22" t="s">
        <v>8</v>
      </c>
      <c r="D20" s="23" t="s">
        <v>29</v>
      </c>
      <c r="E20" s="21" t="s">
        <v>29</v>
      </c>
      <c r="F20" s="21">
        <v>25</v>
      </c>
      <c r="G20" s="6"/>
      <c r="H20" s="24"/>
      <c r="I20" s="195">
        <v>33</v>
      </c>
      <c r="J20" s="196">
        <v>184</v>
      </c>
      <c r="K20" s="196">
        <v>162</v>
      </c>
      <c r="L20" s="196">
        <v>55</v>
      </c>
      <c r="M20" s="196" t="s">
        <v>1144</v>
      </c>
      <c r="N20" s="538">
        <v>162</v>
      </c>
      <c r="O20" s="538">
        <v>0</v>
      </c>
      <c r="P20" s="196" t="s">
        <v>1144</v>
      </c>
      <c r="Q20" s="196" t="s">
        <v>1144</v>
      </c>
      <c r="R20" s="196" t="s">
        <v>1144</v>
      </c>
      <c r="S20" s="196">
        <v>43</v>
      </c>
      <c r="T20" s="196">
        <v>137</v>
      </c>
      <c r="U20" s="196">
        <v>151</v>
      </c>
      <c r="V20" s="196">
        <v>29</v>
      </c>
      <c r="W20" s="196" t="s">
        <v>1144</v>
      </c>
      <c r="X20" s="202">
        <v>151</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66</v>
      </c>
      <c r="AT20" s="216"/>
      <c r="AU20" s="215"/>
      <c r="AV20" s="216"/>
      <c r="AW20" s="215"/>
      <c r="AX20" s="216"/>
      <c r="AY20" s="138">
        <f t="shared" ref="AY20:AY22" si="16">IF(ISNUMBER(S20),S20," - ")</f>
        <v>43</v>
      </c>
      <c r="AZ20" s="139">
        <f t="shared" ref="AZ20:AZ22" si="17">IF(ISNUMBER(T20),T20," - ")</f>
        <v>137</v>
      </c>
      <c r="BA20" s="139">
        <f t="shared" ref="BA20:BA22" si="18">IF(ISNUMBER(U20),U20," - ")</f>
        <v>151</v>
      </c>
      <c r="BB20" s="139">
        <f t="shared" ref="BB20:BB22" si="19">IF(ISNUMBER(V20),V20," - ")</f>
        <v>29</v>
      </c>
      <c r="BC20" s="135" t="str">
        <f t="shared" ref="BC20:BC22" si="20">IF(ISNUMBER(W20),W20," - ")</f>
        <v xml:space="preserve"> - </v>
      </c>
      <c r="BD20" s="136">
        <f t="shared" si="12"/>
        <v>1.1021897810218979</v>
      </c>
      <c r="BE20" s="137">
        <f t="shared" si="13"/>
        <v>0.19205298013245034</v>
      </c>
      <c r="BF20" s="137" t="str">
        <f t="shared" si="14"/>
        <v xml:space="preserve"> - </v>
      </c>
      <c r="BG20" s="209">
        <f t="shared" si="11"/>
        <v>1.1920529801324504</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518</v>
      </c>
      <c r="B21" s="21" t="s">
        <v>512</v>
      </c>
      <c r="C21" s="22" t="s">
        <v>8</v>
      </c>
      <c r="D21" s="23" t="s">
        <v>30</v>
      </c>
      <c r="E21" s="21" t="s">
        <v>30</v>
      </c>
      <c r="F21" s="21">
        <v>22</v>
      </c>
      <c r="G21" s="6"/>
      <c r="H21" s="28" t="s">
        <v>50</v>
      </c>
      <c r="I21" s="195">
        <v>600</v>
      </c>
      <c r="J21" s="196">
        <v>146</v>
      </c>
      <c r="K21" s="196">
        <v>175</v>
      </c>
      <c r="L21" s="196">
        <v>571</v>
      </c>
      <c r="M21" s="196">
        <v>143</v>
      </c>
      <c r="N21" s="196">
        <v>32</v>
      </c>
      <c r="O21" s="196">
        <v>0</v>
      </c>
      <c r="P21" s="196">
        <v>174</v>
      </c>
      <c r="Q21" s="196">
        <v>431</v>
      </c>
      <c r="R21" s="196">
        <v>928</v>
      </c>
      <c r="S21" s="196">
        <v>411</v>
      </c>
      <c r="T21" s="196">
        <v>148</v>
      </c>
      <c r="U21" s="196">
        <v>74</v>
      </c>
      <c r="V21" s="196">
        <v>485</v>
      </c>
      <c r="W21" s="196">
        <v>52</v>
      </c>
      <c r="X21" s="202">
        <v>22</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2" t="s">
        <v>200</v>
      </c>
      <c r="AT21" s="345"/>
      <c r="AU21" s="215"/>
      <c r="AV21" s="216"/>
      <c r="AW21" s="215"/>
      <c r="AX21" s="216"/>
      <c r="AY21" s="138">
        <f t="shared" si="16"/>
        <v>411</v>
      </c>
      <c r="AZ21" s="139">
        <f t="shared" si="17"/>
        <v>148</v>
      </c>
      <c r="BA21" s="139">
        <f t="shared" si="18"/>
        <v>74</v>
      </c>
      <c r="BB21" s="139">
        <f t="shared" si="19"/>
        <v>485</v>
      </c>
      <c r="BC21" s="135">
        <f t="shared" si="20"/>
        <v>52</v>
      </c>
      <c r="BD21" s="136">
        <f t="shared" si="12"/>
        <v>0.5</v>
      </c>
      <c r="BE21" s="137">
        <f t="shared" si="13"/>
        <v>6.5540540540540544</v>
      </c>
      <c r="BF21" s="137">
        <f t="shared" si="14"/>
        <v>0.70270270270270274</v>
      </c>
      <c r="BG21" s="209">
        <f t="shared" si="11"/>
        <v>7.5540540540540544</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408</v>
      </c>
      <c r="CO21" s="170">
        <v>450</v>
      </c>
      <c r="CP21" s="186" t="s">
        <v>408</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1023</v>
      </c>
      <c r="EP21" s="382"/>
      <c r="EQ21" s="382"/>
      <c r="ER21" s="1345" t="s">
        <v>1006</v>
      </c>
      <c r="ES21" s="382"/>
      <c r="ET21" s="1523"/>
      <c r="EU21" s="1523"/>
    </row>
    <row r="22" spans="1:151"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621</v>
      </c>
      <c r="O22" s="196" t="s">
        <v>294</v>
      </c>
      <c r="P22" s="196" t="s">
        <v>207</v>
      </c>
      <c r="Q22" s="196" t="s">
        <v>208</v>
      </c>
      <c r="R22" s="196" t="s">
        <v>209</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1014</v>
      </c>
      <c r="EP22" s="382"/>
      <c r="EQ22" s="382"/>
      <c r="ER22" s="1343">
        <v>2400</v>
      </c>
      <c r="ES22" s="382"/>
      <c r="ET22" s="1523"/>
      <c r="EU22" s="1523"/>
    </row>
    <row r="23" spans="1:151" ht="14.25" customHeight="1" thickBot="1">
      <c r="A23" s="77" t="s">
        <v>5</v>
      </c>
      <c r="B23" s="78" t="s">
        <v>512</v>
      </c>
      <c r="C23" s="79" t="s">
        <v>9</v>
      </c>
      <c r="D23" s="80"/>
      <c r="E23" s="81"/>
      <c r="F23" s="81"/>
      <c r="G23" s="82"/>
      <c r="H23" s="83"/>
      <c r="I23" s="197">
        <f t="shared" ref="I23:AT23" si="21">SUBTOTAL(9,I15:I22)</f>
        <v>2899</v>
      </c>
      <c r="J23" s="197">
        <f t="shared" si="21"/>
        <v>1834</v>
      </c>
      <c r="K23" s="197">
        <f t="shared" si="21"/>
        <v>1879</v>
      </c>
      <c r="L23" s="197">
        <f t="shared" si="21"/>
        <v>2860</v>
      </c>
      <c r="M23" s="197">
        <f t="shared" si="21"/>
        <v>361</v>
      </c>
      <c r="N23" s="197">
        <f t="shared" si="21"/>
        <v>1128</v>
      </c>
      <c r="O23" s="197">
        <f t="shared" si="21"/>
        <v>32</v>
      </c>
      <c r="P23" s="197">
        <f t="shared" si="21"/>
        <v>225</v>
      </c>
      <c r="Q23" s="197">
        <f t="shared" si="21"/>
        <v>559</v>
      </c>
      <c r="R23" s="197">
        <f t="shared" si="21"/>
        <v>1302</v>
      </c>
      <c r="S23" s="197">
        <f t="shared" si="21"/>
        <v>2765</v>
      </c>
      <c r="T23" s="197">
        <f t="shared" si="21"/>
        <v>1790</v>
      </c>
      <c r="U23" s="197">
        <f t="shared" si="21"/>
        <v>1763</v>
      </c>
      <c r="V23" s="197">
        <f t="shared" si="21"/>
        <v>2796</v>
      </c>
      <c r="W23" s="197">
        <f t="shared" si="21"/>
        <v>267</v>
      </c>
      <c r="X23" s="197">
        <f t="shared" si="21"/>
        <v>1030</v>
      </c>
      <c r="Y23" s="197">
        <f t="shared" si="21"/>
        <v>0</v>
      </c>
      <c r="Z23" s="197">
        <f t="shared" si="21"/>
        <v>0</v>
      </c>
      <c r="AA23" s="197">
        <f t="shared" si="21"/>
        <v>0</v>
      </c>
      <c r="AB23" s="197">
        <f t="shared" si="21"/>
        <v>0</v>
      </c>
      <c r="AC23" s="197">
        <f t="shared" si="21"/>
        <v>1</v>
      </c>
      <c r="AD23" s="197">
        <f t="shared" si="21"/>
        <v>13</v>
      </c>
      <c r="AE23" s="197">
        <f t="shared" si="21"/>
        <v>13</v>
      </c>
      <c r="AF23" s="197">
        <f t="shared" si="21"/>
        <v>1</v>
      </c>
      <c r="AG23" s="197">
        <f t="shared" si="21"/>
        <v>0</v>
      </c>
      <c r="AH23" s="197">
        <f t="shared" si="21"/>
        <v>0</v>
      </c>
      <c r="AI23" s="197">
        <f t="shared" si="21"/>
        <v>0</v>
      </c>
      <c r="AJ23" s="197">
        <f t="shared" si="21"/>
        <v>0</v>
      </c>
      <c r="AK23" s="197">
        <f t="shared" si="21"/>
        <v>1</v>
      </c>
      <c r="AL23" s="197">
        <f t="shared" si="21"/>
        <v>10</v>
      </c>
      <c r="AM23" s="197">
        <f t="shared" si="21"/>
        <v>10</v>
      </c>
      <c r="AN23" s="197">
        <f t="shared" si="21"/>
        <v>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2765</v>
      </c>
      <c r="AZ23" s="197">
        <f>SUBTOTAL(9,AZ15:AZ22)</f>
        <v>1790</v>
      </c>
      <c r="BA23" s="197">
        <f>SUBTOTAL(9,BA15:BA22)</f>
        <v>1763</v>
      </c>
      <c r="BB23" s="197">
        <f>SUBTOTAL(9,BB15:BB22)</f>
        <v>2796</v>
      </c>
      <c r="BC23" s="197">
        <f>SUBTOTAL(9,BC15:BC22)</f>
        <v>267</v>
      </c>
      <c r="BD23" s="219">
        <f>IF(ISNUMBER(BA23/AZ23),BA23/AZ23," - ")</f>
        <v>0.98491620111731848</v>
      </c>
      <c r="BE23" s="220">
        <f>IF(ISNUMBER(BB23/BA23),BB23/BA23, " - ")</f>
        <v>1.585933068633012</v>
      </c>
      <c r="BF23" s="220">
        <f>IF(ISNUMBER(BC23/BA23),BC23/BA23, " - ")</f>
        <v>0.1514463981849121</v>
      </c>
      <c r="BG23" s="221">
        <f>IF(ISNUMBER((AY23+AZ23)/BA23),(AY23+AZ23)/BA23," - ")</f>
        <v>2.5836642087351107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512</v>
      </c>
      <c r="C25" s="22" t="s">
        <v>8</v>
      </c>
      <c r="D25" s="23">
        <v>30</v>
      </c>
      <c r="E25" s="21">
        <v>30</v>
      </c>
      <c r="F25" s="21">
        <v>23</v>
      </c>
      <c r="G25" s="6"/>
      <c r="H25" s="24"/>
      <c r="I25" s="195">
        <v>496</v>
      </c>
      <c r="J25" s="196">
        <v>138</v>
      </c>
      <c r="K25" s="196">
        <v>221</v>
      </c>
      <c r="L25" s="196">
        <v>419</v>
      </c>
      <c r="M25" s="196">
        <v>109</v>
      </c>
      <c r="N25" s="196">
        <v>112</v>
      </c>
      <c r="O25" s="196">
        <v>27</v>
      </c>
      <c r="P25" s="196">
        <v>2</v>
      </c>
      <c r="Q25" s="196">
        <v>5</v>
      </c>
      <c r="R25" s="196">
        <v>31</v>
      </c>
      <c r="S25" s="196">
        <v>711</v>
      </c>
      <c r="T25" s="196">
        <v>374</v>
      </c>
      <c r="U25" s="196">
        <v>516</v>
      </c>
      <c r="V25" s="196">
        <v>573</v>
      </c>
      <c r="W25" s="196">
        <v>300</v>
      </c>
      <c r="X25" s="202">
        <v>427</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3</v>
      </c>
      <c r="AP25" s="168">
        <v>3</v>
      </c>
      <c r="AQ25" s="168">
        <v>3</v>
      </c>
      <c r="AR25" s="168">
        <v>3</v>
      </c>
      <c r="AS25" s="382" t="s">
        <v>201</v>
      </c>
      <c r="AT25" s="216"/>
      <c r="AU25" s="215"/>
      <c r="AV25" s="216"/>
      <c r="AW25" s="215"/>
      <c r="AX25" s="216"/>
      <c r="AY25" s="138">
        <f t="shared" ref="AY25:BC25" si="24">IF(ISNUMBER(S25),S25," - ")</f>
        <v>711</v>
      </c>
      <c r="AZ25" s="139">
        <f t="shared" si="24"/>
        <v>374</v>
      </c>
      <c r="BA25" s="139">
        <f t="shared" si="24"/>
        <v>516</v>
      </c>
      <c r="BB25" s="139">
        <f t="shared" si="24"/>
        <v>573</v>
      </c>
      <c r="BC25" s="135">
        <f t="shared" si="24"/>
        <v>300</v>
      </c>
      <c r="BD25" s="136">
        <f t="shared" ref="BD25:BD26" si="25">IF(ISNUMBER(BA25/AZ25),BA25/AZ25," - ")</f>
        <v>1.3796791443850267</v>
      </c>
      <c r="BE25" s="137">
        <f t="shared" ref="BE25:BE26" si="26">IF(ISNUMBER(BB25/BA25),BB25/BA25, " - ")</f>
        <v>1.1104651162790697</v>
      </c>
      <c r="BF25" s="137">
        <f t="shared" ref="BF25:BF26" si="27">IF(ISNUMBER(BC25/BA25),BC25/BA25, " - ")</f>
        <v>0.58139534883720934</v>
      </c>
      <c r="BG25" s="209">
        <f t="shared" ref="BG25:BG26" si="28">IF(ISNUMBER((AY25+AZ25)/BA25),(AY25+AZ25)/BA25," - ")</f>
        <v>2.1027131782945738</v>
      </c>
      <c r="BH25" s="168">
        <v>3</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512</v>
      </c>
      <c r="C26" s="79" t="s">
        <v>9</v>
      </c>
      <c r="D26" s="80"/>
      <c r="E26" s="81"/>
      <c r="F26" s="81"/>
      <c r="G26" s="82"/>
      <c r="H26" s="83"/>
      <c r="I26" s="197">
        <f t="shared" ref="I26:AS26" si="29">SUBTOTAL(9,I25:I25)</f>
        <v>496</v>
      </c>
      <c r="J26" s="197">
        <f t="shared" si="29"/>
        <v>138</v>
      </c>
      <c r="K26" s="197">
        <f t="shared" si="29"/>
        <v>221</v>
      </c>
      <c r="L26" s="197">
        <f t="shared" si="29"/>
        <v>419</v>
      </c>
      <c r="M26" s="197">
        <f t="shared" si="29"/>
        <v>109</v>
      </c>
      <c r="N26" s="197">
        <f t="shared" si="29"/>
        <v>112</v>
      </c>
      <c r="O26" s="197">
        <f t="shared" si="29"/>
        <v>27</v>
      </c>
      <c r="P26" s="197">
        <f t="shared" si="29"/>
        <v>2</v>
      </c>
      <c r="Q26" s="197">
        <f t="shared" si="29"/>
        <v>5</v>
      </c>
      <c r="R26" s="197">
        <f t="shared" si="29"/>
        <v>31</v>
      </c>
      <c r="S26" s="197">
        <f t="shared" si="29"/>
        <v>711</v>
      </c>
      <c r="T26" s="197">
        <f t="shared" si="29"/>
        <v>374</v>
      </c>
      <c r="U26" s="197">
        <f t="shared" si="29"/>
        <v>516</v>
      </c>
      <c r="V26" s="197">
        <f t="shared" si="29"/>
        <v>573</v>
      </c>
      <c r="W26" s="197">
        <f t="shared" si="29"/>
        <v>300</v>
      </c>
      <c r="X26" s="141">
        <f t="shared" si="29"/>
        <v>427</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3</v>
      </c>
      <c r="AP26" s="153">
        <f t="shared" si="29"/>
        <v>3</v>
      </c>
      <c r="AQ26" s="153">
        <f t="shared" si="29"/>
        <v>3</v>
      </c>
      <c r="AR26" s="153">
        <f t="shared" si="29"/>
        <v>3</v>
      </c>
      <c r="AS26" s="153">
        <f t="shared" si="29"/>
        <v>0</v>
      </c>
      <c r="AT26" s="142"/>
      <c r="AU26" s="217"/>
      <c r="AV26" s="142"/>
      <c r="AW26" s="217"/>
      <c r="AX26" s="142"/>
      <c r="AY26" s="140">
        <f>SUBTOTAL(9,AY25:AY25)</f>
        <v>711</v>
      </c>
      <c r="AZ26" s="141">
        <f>SUBTOTAL(9,AZ25:AZ25)</f>
        <v>374</v>
      </c>
      <c r="BA26" s="141">
        <f>SUBTOTAL(9,BA25:BA25)</f>
        <v>516</v>
      </c>
      <c r="BB26" s="141">
        <f>SUBTOTAL(9,BB25:BB25)</f>
        <v>573</v>
      </c>
      <c r="BC26" s="142">
        <f>SUBTOTAL(9,BC25:BC25)</f>
        <v>300</v>
      </c>
      <c r="BD26" s="219">
        <f t="shared" si="25"/>
        <v>1.3796791443850267</v>
      </c>
      <c r="BE26" s="220">
        <f t="shared" si="26"/>
        <v>1.1104651162790697</v>
      </c>
      <c r="BF26" s="220">
        <f t="shared" si="27"/>
        <v>0.58139534883720934</v>
      </c>
      <c r="BG26" s="221">
        <f t="shared" si="28"/>
        <v>2.1027131782945738</v>
      </c>
      <c r="BH26" s="153">
        <f>SUBTOTAL(9,BH25:BH25)</f>
        <v>3</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512</v>
      </c>
      <c r="C28" s="22" t="s">
        <v>8</v>
      </c>
      <c r="D28" s="23" t="s">
        <v>31</v>
      </c>
      <c r="E28" s="21" t="s">
        <v>31</v>
      </c>
      <c r="F28" s="21">
        <v>24</v>
      </c>
      <c r="G28" s="6"/>
      <c r="H28" s="30" t="s">
        <v>51</v>
      </c>
      <c r="I28" s="195">
        <v>711</v>
      </c>
      <c r="J28" s="196">
        <v>181</v>
      </c>
      <c r="K28" s="196">
        <v>77</v>
      </c>
      <c r="L28" s="196">
        <v>795</v>
      </c>
      <c r="M28" s="196">
        <v>30</v>
      </c>
      <c r="N28" s="196">
        <v>24</v>
      </c>
      <c r="O28" s="196">
        <v>23</v>
      </c>
      <c r="P28" s="196">
        <v>27</v>
      </c>
      <c r="Q28" s="196">
        <v>41</v>
      </c>
      <c r="R28" s="196">
        <v>202</v>
      </c>
      <c r="S28" s="196">
        <v>398</v>
      </c>
      <c r="T28" s="196">
        <v>232</v>
      </c>
      <c r="U28" s="196">
        <v>79</v>
      </c>
      <c r="V28" s="196">
        <v>551</v>
      </c>
      <c r="W28" s="196">
        <v>37</v>
      </c>
      <c r="X28" s="202">
        <v>0</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199</v>
      </c>
      <c r="AT28" s="216"/>
      <c r="AU28" s="215"/>
      <c r="AV28" s="216"/>
      <c r="AW28" s="215"/>
      <c r="AX28" s="216"/>
      <c r="AY28" s="138">
        <f t="shared" ref="AY28:BC29" si="30">IF(ISNUMBER(S28),S28," - ")</f>
        <v>398</v>
      </c>
      <c r="AZ28" s="139">
        <f t="shared" si="30"/>
        <v>232</v>
      </c>
      <c r="BA28" s="139">
        <f t="shared" si="30"/>
        <v>79</v>
      </c>
      <c r="BB28" s="139">
        <f t="shared" si="30"/>
        <v>551</v>
      </c>
      <c r="BC28" s="135">
        <f t="shared" si="30"/>
        <v>37</v>
      </c>
      <c r="BD28" s="136">
        <f t="shared" ref="BD28:BD30" si="31">IF(ISNUMBER(BA28/AZ28),BA28/AZ28," - ")</f>
        <v>0.34051724137931033</v>
      </c>
      <c r="BE28" s="137">
        <f t="shared" ref="BE28:BE30" si="32">IF(ISNUMBER(BB28/BA28),BB28/BA28, " - ")</f>
        <v>6.9746835443037973</v>
      </c>
      <c r="BF28" s="137">
        <f t="shared" ref="BF28:BF30" si="33">IF(ISNUMBER(BC28/BA28),BC28/BA28, " - ")</f>
        <v>0.46835443037974683</v>
      </c>
      <c r="BG28" s="209">
        <f t="shared" ref="BG28:BG30" si="34">IF(ISNUMBER((AY28+AZ28)/BA28),(AY28+AZ28)/BA28," - ")</f>
        <v>7.9746835443037973</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407</v>
      </c>
      <c r="CO28" s="170">
        <v>850</v>
      </c>
      <c r="CP28" s="186" t="s">
        <v>407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1002</v>
      </c>
      <c r="EP28" s="1340"/>
      <c r="EQ28" s="1340"/>
      <c r="ER28" s="1345" t="s">
        <v>1005</v>
      </c>
      <c r="ES28" s="1340"/>
      <c r="ET28" s="1523"/>
      <c r="EU28" s="1523"/>
    </row>
    <row r="29" spans="1:151"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694</v>
      </c>
      <c r="O29" s="196" t="s">
        <v>295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1026</v>
      </c>
      <c r="EP29" s="1337"/>
      <c r="EQ29" s="1337"/>
      <c r="ER29" s="1343">
        <v>3500</v>
      </c>
      <c r="ES29" s="1337"/>
      <c r="ET29" s="1523"/>
      <c r="EU29" s="1523"/>
    </row>
    <row r="30" spans="1:151" ht="14.25" customHeight="1" thickBot="1">
      <c r="A30" s="77" t="s">
        <v>5</v>
      </c>
      <c r="B30" s="78" t="s">
        <v>512</v>
      </c>
      <c r="C30" s="79" t="s">
        <v>9</v>
      </c>
      <c r="D30" s="80"/>
      <c r="E30" s="81"/>
      <c r="F30" s="81"/>
      <c r="G30" s="82"/>
      <c r="H30" s="83"/>
      <c r="I30" s="197">
        <f t="shared" ref="I30:AO30" si="35">SUBTOTAL(9,I28:I29)</f>
        <v>711</v>
      </c>
      <c r="J30" s="197">
        <f t="shared" si="35"/>
        <v>181</v>
      </c>
      <c r="K30" s="197">
        <f t="shared" si="35"/>
        <v>77</v>
      </c>
      <c r="L30" s="197">
        <f t="shared" si="35"/>
        <v>795</v>
      </c>
      <c r="M30" s="197">
        <f t="shared" si="35"/>
        <v>30</v>
      </c>
      <c r="N30" s="197">
        <f t="shared" si="35"/>
        <v>24</v>
      </c>
      <c r="O30" s="197">
        <f t="shared" si="35"/>
        <v>23</v>
      </c>
      <c r="P30" s="197">
        <f t="shared" si="35"/>
        <v>27</v>
      </c>
      <c r="Q30" s="197">
        <f t="shared" si="35"/>
        <v>41</v>
      </c>
      <c r="R30" s="197">
        <f t="shared" si="35"/>
        <v>202</v>
      </c>
      <c r="S30" s="197">
        <f t="shared" si="35"/>
        <v>398</v>
      </c>
      <c r="T30" s="197">
        <f t="shared" si="35"/>
        <v>232</v>
      </c>
      <c r="U30" s="197">
        <f t="shared" si="35"/>
        <v>79</v>
      </c>
      <c r="V30" s="197">
        <f t="shared" si="35"/>
        <v>551</v>
      </c>
      <c r="W30" s="197">
        <f t="shared" si="35"/>
        <v>37</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398</v>
      </c>
      <c r="AZ30" s="141">
        <f>SUBTOTAL(9,AZ28:AZ29)</f>
        <v>232</v>
      </c>
      <c r="BA30" s="141">
        <f>SUBTOTAL(9,BA28:BA29)</f>
        <v>79</v>
      </c>
      <c r="BB30" s="141">
        <f>SUBTOTAL(9,BB28:BB29)</f>
        <v>551</v>
      </c>
      <c r="BC30" s="142">
        <f>SUBTOTAL(9,BC28:BC29)</f>
        <v>37</v>
      </c>
      <c r="BD30" s="140">
        <f t="shared" si="31"/>
        <v>0.34051724137931033</v>
      </c>
      <c r="BE30" s="141">
        <f t="shared" si="32"/>
        <v>6.9746835443037973</v>
      </c>
      <c r="BF30" s="141">
        <f t="shared" si="33"/>
        <v>0.46835443037974683</v>
      </c>
      <c r="BG30" s="142">
        <f t="shared" si="34"/>
        <v>7.9746835443037973</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5657</v>
      </c>
      <c r="J31" s="144">
        <f t="shared" si="36"/>
        <v>2811</v>
      </c>
      <c r="K31" s="144">
        <f t="shared" si="36"/>
        <v>2782</v>
      </c>
      <c r="L31" s="144">
        <f t="shared" si="36"/>
        <v>5749</v>
      </c>
      <c r="M31" s="144">
        <f t="shared" si="36"/>
        <v>593</v>
      </c>
      <c r="N31" s="144">
        <f t="shared" si="36"/>
        <v>1439</v>
      </c>
      <c r="O31" s="144">
        <f t="shared" si="36"/>
        <v>547</v>
      </c>
      <c r="P31" s="144">
        <f t="shared" si="36"/>
        <v>421</v>
      </c>
      <c r="Q31" s="144">
        <f t="shared" si="36"/>
        <v>911</v>
      </c>
      <c r="R31" s="144">
        <f t="shared" si="36"/>
        <v>4886</v>
      </c>
      <c r="S31" s="144">
        <f t="shared" si="36"/>
        <v>5349</v>
      </c>
      <c r="T31" s="144">
        <f t="shared" si="36"/>
        <v>3025</v>
      </c>
      <c r="U31" s="144">
        <f t="shared" si="36"/>
        <v>2964</v>
      </c>
      <c r="V31" s="144">
        <f t="shared" si="36"/>
        <v>5418</v>
      </c>
      <c r="W31" s="144">
        <f t="shared" si="36"/>
        <v>715</v>
      </c>
      <c r="X31" s="144">
        <f t="shared" si="36"/>
        <v>1699</v>
      </c>
      <c r="Y31" s="144">
        <f t="shared" si="36"/>
        <v>113</v>
      </c>
      <c r="Z31" s="144">
        <f t="shared" si="36"/>
        <v>57</v>
      </c>
      <c r="AA31" s="144">
        <f t="shared" si="36"/>
        <v>48</v>
      </c>
      <c r="AB31" s="144">
        <f t="shared" si="36"/>
        <v>122</v>
      </c>
      <c r="AC31" s="144">
        <f t="shared" si="36"/>
        <v>1</v>
      </c>
      <c r="AD31" s="144">
        <f t="shared" si="36"/>
        <v>13</v>
      </c>
      <c r="AE31" s="144">
        <f t="shared" si="36"/>
        <v>13</v>
      </c>
      <c r="AF31" s="144">
        <f t="shared" si="36"/>
        <v>1</v>
      </c>
      <c r="AG31" s="144">
        <f t="shared" si="36"/>
        <v>106</v>
      </c>
      <c r="AH31" s="144">
        <f t="shared" si="36"/>
        <v>98</v>
      </c>
      <c r="AI31" s="144">
        <f t="shared" si="36"/>
        <v>90</v>
      </c>
      <c r="AJ31" s="144">
        <f t="shared" si="36"/>
        <v>114</v>
      </c>
      <c r="AK31" s="144">
        <f t="shared" si="36"/>
        <v>1</v>
      </c>
      <c r="AL31" s="144">
        <f t="shared" si="36"/>
        <v>10</v>
      </c>
      <c r="AM31" s="144">
        <f t="shared" si="36"/>
        <v>10</v>
      </c>
      <c r="AN31" s="224">
        <f t="shared" si="36"/>
        <v>1</v>
      </c>
      <c r="AO31" s="225">
        <v>13</v>
      </c>
      <c r="AP31" s="225">
        <v>12</v>
      </c>
      <c r="AQ31" s="225">
        <v>12</v>
      </c>
      <c r="AR31" s="225">
        <v>12</v>
      </c>
      <c r="AS31" s="166">
        <f t="shared" si="36"/>
        <v>0</v>
      </c>
      <c r="AT31" s="166">
        <f t="shared" si="36"/>
        <v>0</v>
      </c>
      <c r="AU31" s="225"/>
      <c r="AV31" s="226"/>
      <c r="AW31" s="225"/>
      <c r="AX31" s="226"/>
      <c r="AY31" s="143">
        <f>SUBTOTAL(9,AY9:AY30)</f>
        <v>5455</v>
      </c>
      <c r="AZ31" s="144">
        <f>SUBTOTAL(9,AZ9:AZ30)</f>
        <v>3123</v>
      </c>
      <c r="BA31" s="144">
        <f>SUBTOTAL(9,BA9:BA30)</f>
        <v>3054</v>
      </c>
      <c r="BB31" s="144">
        <f>SUBTOTAL(9,BB9:BB30)</f>
        <v>5532</v>
      </c>
      <c r="BC31" s="145">
        <f>SUBTOTAL(9,BC9:BC30)</f>
        <v>830</v>
      </c>
      <c r="BD31" s="227">
        <f>IF(ISNUMBER(BA31/AZ31),BA31/AZ31," - ")</f>
        <v>0.97790585975024014</v>
      </c>
      <c r="BE31" s="224">
        <f>IF(ISNUMBER(BB31/BA31),BB31/BA31, " - ")</f>
        <v>1.8113948919449903</v>
      </c>
      <c r="BF31" s="224">
        <f>IF(ISNUMBER(BC31/BA31),BC31/BA31, " - ")</f>
        <v>0.27177472167648986</v>
      </c>
      <c r="BG31" s="145">
        <f>IF(ISNUMBER((AY31+AZ31)/BA31),(AY31+AZ31)/BA31," - ")</f>
        <v>2.8087753765553374</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1or+nhsHj15miHPxhBpmIMav+m+HqeXuY0H81GthrnxauxlL8ljr03TqnVDXm9/5DJsQu/c9xuWm4CpkzEoUXA==" saltValue="9Vf1vNtwMC3phIzW8Ej20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522</v>
      </c>
    </row>
    <row r="2" spans="1:151">
      <c r="A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1" t="s">
        <v>343</v>
      </c>
      <c r="CF4" s="1772"/>
      <c r="CG4" s="1772"/>
      <c r="CH4" s="1773"/>
    </row>
    <row r="5" spans="1:151" ht="12.75" customHeight="1" thickBot="1">
      <c r="A5" s="1797" t="str">
        <f>"Año:  " &amp;Criterios!B5 &amp; "                  Trimestre   " &amp;Criterios!D5 &amp; " al " &amp;Criterios!D6</f>
        <v>Año:  2021                  Trimestre   3 al 3</v>
      </c>
      <c r="B5" s="1799" t="s">
        <v>509</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171</v>
      </c>
      <c r="AP5" s="1774" t="s">
        <v>172</v>
      </c>
      <c r="AQ5" s="1774" t="s">
        <v>120</v>
      </c>
      <c r="AR5" s="1774" t="s">
        <v>173</v>
      </c>
      <c r="AS5" s="1786" t="s">
        <v>210</v>
      </c>
      <c r="AT5" s="1786" t="s">
        <v>211</v>
      </c>
      <c r="AU5" s="1786" t="s">
        <v>300</v>
      </c>
      <c r="AV5" s="1786" t="s">
        <v>298</v>
      </c>
      <c r="AW5" s="1786" t="s">
        <v>301</v>
      </c>
      <c r="AX5" s="1786" t="s">
        <v>299</v>
      </c>
      <c r="AY5" s="1780" t="s">
        <v>148</v>
      </c>
      <c r="AZ5" s="1833"/>
      <c r="BA5" s="1833"/>
      <c r="BB5" s="1833"/>
      <c r="BC5" s="1834"/>
      <c r="BD5" s="1780" t="s">
        <v>149</v>
      </c>
      <c r="BE5" s="1781"/>
      <c r="BF5" s="1781"/>
      <c r="BG5" s="1782"/>
      <c r="BH5" s="1774" t="s">
        <v>187</v>
      </c>
      <c r="BI5" s="1774" t="s">
        <v>188</v>
      </c>
      <c r="BJ5" s="1830" t="s">
        <v>268</v>
      </c>
      <c r="BK5" s="1791" t="s">
        <v>271</v>
      </c>
      <c r="BL5" s="1791" t="s">
        <v>278</v>
      </c>
      <c r="BM5" s="1827" t="s">
        <v>495</v>
      </c>
      <c r="BN5" s="1604"/>
      <c r="BO5" s="1605"/>
      <c r="BP5" s="1604"/>
      <c r="BQ5" s="1605"/>
      <c r="BR5" s="1604"/>
      <c r="BS5" s="1605"/>
      <c r="BT5" s="1604"/>
      <c r="BU5" s="1605"/>
      <c r="BV5" s="1788" t="s">
        <v>342</v>
      </c>
      <c r="BW5" s="1841" t="s">
        <v>320</v>
      </c>
      <c r="BX5" s="1841" t="s">
        <v>321</v>
      </c>
      <c r="BY5" s="1777" t="s">
        <v>329</v>
      </c>
      <c r="BZ5" s="1777" t="s">
        <v>455</v>
      </c>
      <c r="CA5" s="1764" t="s">
        <v>358</v>
      </c>
      <c r="CB5" s="1764" t="s">
        <v>349</v>
      </c>
      <c r="CC5" s="1764" t="s">
        <v>350</v>
      </c>
      <c r="CD5" s="1764" t="s">
        <v>351</v>
      </c>
      <c r="CE5" s="1752" t="s">
        <v>362</v>
      </c>
      <c r="CF5" s="1752" t="s">
        <v>341</v>
      </c>
      <c r="CG5" s="1752" t="s">
        <v>339</v>
      </c>
      <c r="CH5" s="1752" t="s">
        <v>340</v>
      </c>
      <c r="CI5" s="1768" t="s">
        <v>368</v>
      </c>
      <c r="CJ5" s="1768" t="s">
        <v>369</v>
      </c>
      <c r="CK5" s="1743" t="s">
        <v>595</v>
      </c>
      <c r="CL5" s="1743" t="s">
        <v>596</v>
      </c>
      <c r="CM5" s="1743" t="s">
        <v>597</v>
      </c>
      <c r="CN5" s="1765" t="s">
        <v>477</v>
      </c>
      <c r="CO5" s="1765" t="s">
        <v>470</v>
      </c>
      <c r="CP5" s="1765" t="s">
        <v>476</v>
      </c>
      <c r="CQ5" s="1758" t="s">
        <v>475</v>
      </c>
      <c r="CR5" s="1758" t="s">
        <v>58</v>
      </c>
      <c r="CS5" s="1752" t="s">
        <v>496</v>
      </c>
      <c r="CT5" s="1752" t="s">
        <v>499</v>
      </c>
      <c r="CU5" s="1752" t="s">
        <v>286</v>
      </c>
      <c r="CV5" s="1752" t="s">
        <v>397</v>
      </c>
      <c r="CW5" s="1752" t="s">
        <v>429</v>
      </c>
      <c r="CX5" s="1752" t="s">
        <v>440</v>
      </c>
      <c r="CY5" s="1752" t="s">
        <v>566</v>
      </c>
      <c r="CZ5" s="1752" t="s">
        <v>567</v>
      </c>
      <c r="DA5" s="1752" t="s">
        <v>568</v>
      </c>
      <c r="DB5" s="1724" t="s">
        <v>251</v>
      </c>
      <c r="DC5" s="1724" t="s">
        <v>252</v>
      </c>
      <c r="DD5" s="1724" t="s">
        <v>253</v>
      </c>
      <c r="DE5" s="1755" t="s">
        <v>224</v>
      </c>
      <c r="DF5" s="1755" t="s">
        <v>521</v>
      </c>
      <c r="DG5" s="1752" t="s">
        <v>581</v>
      </c>
      <c r="DH5" s="1743" t="s">
        <v>540</v>
      </c>
      <c r="DI5" s="1743" t="s">
        <v>541</v>
      </c>
      <c r="DJ5" s="1743" t="s">
        <v>578</v>
      </c>
      <c r="DK5" s="1743" t="s">
        <v>631</v>
      </c>
      <c r="DL5" s="1743" t="s">
        <v>634</v>
      </c>
      <c r="DM5" s="1742" t="s">
        <v>699</v>
      </c>
      <c r="DN5" s="1742" t="s">
        <v>700</v>
      </c>
      <c r="DO5" s="1742" t="s">
        <v>701</v>
      </c>
      <c r="DP5" s="1742" t="s">
        <v>702</v>
      </c>
      <c r="DQ5" s="1742" t="s">
        <v>703</v>
      </c>
      <c r="DR5" s="1742" t="s">
        <v>704</v>
      </c>
      <c r="DS5" s="1742" t="s">
        <v>705</v>
      </c>
      <c r="DT5" s="1742" t="s">
        <v>706</v>
      </c>
      <c r="DU5" s="1749" t="s">
        <v>707</v>
      </c>
      <c r="DV5" s="1749" t="s">
        <v>708</v>
      </c>
      <c r="DW5" s="1746" t="s">
        <v>709</v>
      </c>
      <c r="DX5" s="1742" t="s">
        <v>710</v>
      </c>
      <c r="DY5" s="1730" t="s">
        <v>711</v>
      </c>
      <c r="DZ5" s="1746" t="s">
        <v>712</v>
      </c>
      <c r="EA5" s="1730" t="s">
        <v>713</v>
      </c>
      <c r="EB5" s="1739" t="s">
        <v>773</v>
      </c>
      <c r="EC5" s="1739" t="s">
        <v>810</v>
      </c>
      <c r="ED5" s="1739" t="s">
        <v>775</v>
      </c>
      <c r="EE5" s="1739" t="s">
        <v>815</v>
      </c>
      <c r="EF5" s="1739" t="s">
        <v>816</v>
      </c>
      <c r="EG5" s="1730" t="s">
        <v>817</v>
      </c>
      <c r="EH5" s="1730" t="s">
        <v>818</v>
      </c>
      <c r="EI5" s="1730" t="s">
        <v>777</v>
      </c>
      <c r="EJ5" s="1730" t="s">
        <v>778</v>
      </c>
      <c r="EK5" s="1838" t="s">
        <v>866</v>
      </c>
      <c r="EL5" s="1733" t="s">
        <v>884</v>
      </c>
      <c r="EM5" s="1734"/>
      <c r="EN5" s="1735"/>
      <c r="EO5" s="1724" t="s">
        <v>990</v>
      </c>
      <c r="EP5" s="1724" t="s">
        <v>992</v>
      </c>
      <c r="EQ5" s="1724" t="s">
        <v>993</v>
      </c>
      <c r="ER5" s="1724" t="s">
        <v>999</v>
      </c>
      <c r="ES5" s="1724" t="s">
        <v>1009</v>
      </c>
      <c r="ET5" s="1721" t="s">
        <v>1126</v>
      </c>
      <c r="EU5" s="1721" t="s">
        <v>1127</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147</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842"/>
      <c r="BX6" s="1842"/>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50"/>
      <c r="DV6" s="1750"/>
      <c r="DW6" s="1747"/>
      <c r="DX6" s="1648"/>
      <c r="DY6" s="1731"/>
      <c r="DZ6" s="1747"/>
      <c r="EA6" s="1731"/>
      <c r="EB6" s="1740"/>
      <c r="EC6" s="1740"/>
      <c r="ED6" s="1740"/>
      <c r="EE6" s="1740"/>
      <c r="EF6" s="1740"/>
      <c r="EG6" s="1731"/>
      <c r="EH6" s="1731"/>
      <c r="EI6" s="1731"/>
      <c r="EJ6" s="1731"/>
      <c r="EK6" s="1839"/>
      <c r="EL6" s="1736"/>
      <c r="EM6" s="1737"/>
      <c r="EN6" s="1738"/>
      <c r="EO6" s="1725"/>
      <c r="EP6" s="1725"/>
      <c r="EQ6" s="1725"/>
      <c r="ER6" s="1725"/>
      <c r="ES6" s="1725"/>
      <c r="ET6" s="1722"/>
      <c r="EU6" s="1722"/>
    </row>
    <row r="7" spans="1:151" ht="87" customHeight="1" thickBot="1">
      <c r="A7" s="72" t="s">
        <v>989</v>
      </c>
      <c r="B7" s="1801"/>
      <c r="C7" s="1804"/>
      <c r="D7" s="69" t="s">
        <v>510</v>
      </c>
      <c r="E7" s="70" t="s">
        <v>166</v>
      </c>
      <c r="F7" s="70" t="s">
        <v>165</v>
      </c>
      <c r="G7" s="131" t="s">
        <v>48</v>
      </c>
      <c r="H7" s="132" t="s">
        <v>511</v>
      </c>
      <c r="I7" s="9" t="s">
        <v>483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843"/>
      <c r="BX7" s="1843"/>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51"/>
      <c r="DV7" s="1751"/>
      <c r="DW7" s="1748"/>
      <c r="DX7" s="1649"/>
      <c r="DY7" s="1732"/>
      <c r="DZ7" s="1748"/>
      <c r="EA7" s="1732"/>
      <c r="EB7" s="1741"/>
      <c r="EC7" s="1741"/>
      <c r="ED7" s="1741"/>
      <c r="EE7" s="1741"/>
      <c r="EF7" s="1741"/>
      <c r="EG7" s="1732"/>
      <c r="EH7" s="1732"/>
      <c r="EI7" s="1732"/>
      <c r="EJ7" s="1732"/>
      <c r="EK7" s="1840"/>
      <c r="EL7" s="852" t="s">
        <v>885</v>
      </c>
      <c r="EM7" s="852" t="s">
        <v>126</v>
      </c>
      <c r="EN7" s="852" t="s">
        <v>127</v>
      </c>
      <c r="EO7" s="1726"/>
      <c r="EP7" s="1726"/>
      <c r="EQ7" s="1726"/>
      <c r="ER7" s="1726"/>
      <c r="ES7" s="1726"/>
      <c r="ET7" s="1723"/>
      <c r="EU7" s="1723"/>
    </row>
    <row r="8" spans="1:151"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214</v>
      </c>
      <c r="AO8" s="53" t="s">
        <v>115</v>
      </c>
      <c r="AP8" s="53" t="s">
        <v>119</v>
      </c>
      <c r="AQ8" s="53" t="s">
        <v>143</v>
      </c>
      <c r="AR8" s="53" t="s">
        <v>144</v>
      </c>
      <c r="AS8" s="53" t="s">
        <v>145</v>
      </c>
      <c r="AT8" s="53" t="s">
        <v>146</v>
      </c>
      <c r="AU8" s="53" t="s">
        <v>150</v>
      </c>
      <c r="AV8" s="53" t="s">
        <v>151</v>
      </c>
      <c r="AW8" s="53" t="s">
        <v>152</v>
      </c>
      <c r="AX8" s="53" t="s">
        <v>153</v>
      </c>
      <c r="AY8" s="53" t="s">
        <v>154</v>
      </c>
      <c r="AZ8" s="53" t="s">
        <v>170</v>
      </c>
      <c r="BA8" s="53" t="s">
        <v>178</v>
      </c>
      <c r="BB8" s="53" t="s">
        <v>189</v>
      </c>
      <c r="BC8" s="53" t="s">
        <v>274</v>
      </c>
      <c r="BD8" s="53" t="s">
        <v>198</v>
      </c>
      <c r="BE8" s="53" t="s">
        <v>212</v>
      </c>
      <c r="BF8" s="53" t="s">
        <v>213</v>
      </c>
      <c r="BG8" s="53" t="s">
        <v>269</v>
      </c>
      <c r="BH8" s="53" t="s">
        <v>270</v>
      </c>
      <c r="BI8" s="53" t="s">
        <v>277</v>
      </c>
      <c r="BJ8" s="53" t="s">
        <v>291</v>
      </c>
      <c r="BK8" s="53" t="s">
        <v>296</v>
      </c>
      <c r="BL8" s="53" t="s">
        <v>297</v>
      </c>
      <c r="BM8" s="53"/>
      <c r="BN8" s="53"/>
      <c r="BO8" s="53"/>
      <c r="BP8" s="53"/>
      <c r="BQ8" s="53"/>
      <c r="BR8" s="53"/>
      <c r="BS8" s="53"/>
      <c r="BT8" s="53"/>
      <c r="BU8" s="53"/>
      <c r="BV8" s="53" t="s">
        <v>353</v>
      </c>
      <c r="BW8" s="53" t="s">
        <v>354</v>
      </c>
      <c r="BX8" s="53" t="s">
        <v>359</v>
      </c>
      <c r="BY8" s="53" t="s">
        <v>361</v>
      </c>
      <c r="BZ8" s="53" t="s">
        <v>370</v>
      </c>
      <c r="CA8" s="53" t="s">
        <v>371</v>
      </c>
      <c r="CB8" s="53" t="s">
        <v>456</v>
      </c>
      <c r="CC8" s="53" t="s">
        <v>459</v>
      </c>
      <c r="CD8" s="53" t="s">
        <v>461</v>
      </c>
      <c r="CE8" s="53" t="s">
        <v>471</v>
      </c>
      <c r="CF8" s="53" t="s">
        <v>472</v>
      </c>
      <c r="CG8" s="53" t="s">
        <v>473</v>
      </c>
      <c r="CH8" s="53" t="s">
        <v>474</v>
      </c>
      <c r="CI8" s="53" t="s">
        <v>498</v>
      </c>
      <c r="CJ8" s="53" t="s">
        <v>500</v>
      </c>
      <c r="CK8" s="53" t="s">
        <v>287</v>
      </c>
      <c r="CL8" s="53" t="s">
        <v>404</v>
      </c>
      <c r="CM8" s="53" t="s">
        <v>409</v>
      </c>
      <c r="CN8" s="53"/>
      <c r="CO8" s="53"/>
      <c r="CP8" s="53"/>
      <c r="CQ8" s="53" t="s">
        <v>449</v>
      </c>
      <c r="CR8" s="53" t="s">
        <v>450</v>
      </c>
      <c r="CS8" s="53" t="s">
        <v>223</v>
      </c>
      <c r="CT8" s="53" t="s">
        <v>242</v>
      </c>
      <c r="CU8" s="53" t="s">
        <v>243</v>
      </c>
      <c r="CV8" s="53" t="s">
        <v>244</v>
      </c>
      <c r="CW8" s="53" t="s">
        <v>245</v>
      </c>
      <c r="CX8" s="53" t="s">
        <v>246</v>
      </c>
      <c r="CY8" s="53" t="s">
        <v>247</v>
      </c>
      <c r="CZ8" s="53" t="s">
        <v>248</v>
      </c>
      <c r="DA8" s="53" t="s">
        <v>249</v>
      </c>
      <c r="DB8" s="53" t="s">
        <v>250</v>
      </c>
      <c r="DC8" s="53" t="s">
        <v>254</v>
      </c>
      <c r="DD8" s="53" t="s">
        <v>255</v>
      </c>
      <c r="DE8" s="53" t="s">
        <v>522</v>
      </c>
      <c r="DF8" s="53" t="s">
        <v>59</v>
      </c>
      <c r="DG8" s="53">
        <v>111</v>
      </c>
      <c r="DH8" s="53" t="s">
        <v>592</v>
      </c>
      <c r="DI8" s="53" t="s">
        <v>593</v>
      </c>
      <c r="DJ8" s="536" t="s">
        <v>594</v>
      </c>
      <c r="DK8" s="536" t="s">
        <v>632</v>
      </c>
      <c r="DL8" s="536" t="s">
        <v>633</v>
      </c>
      <c r="DM8" s="536" t="s">
        <v>714</v>
      </c>
      <c r="DN8" s="536" t="s">
        <v>715</v>
      </c>
      <c r="DO8" s="536" t="s">
        <v>716</v>
      </c>
      <c r="DP8" s="536" t="s">
        <v>717</v>
      </c>
      <c r="DQ8" s="536" t="s">
        <v>718</v>
      </c>
      <c r="DR8" s="536" t="s">
        <v>719</v>
      </c>
      <c r="DS8" s="536" t="s">
        <v>720</v>
      </c>
      <c r="DT8" s="536" t="s">
        <v>721</v>
      </c>
      <c r="DU8" s="536" t="s">
        <v>722</v>
      </c>
      <c r="DV8" s="536" t="s">
        <v>723</v>
      </c>
      <c r="DW8" s="536" t="s">
        <v>724</v>
      </c>
      <c r="DX8" s="536" t="s">
        <v>725</v>
      </c>
      <c r="DY8" s="536" t="s">
        <v>726</v>
      </c>
      <c r="DZ8" s="536" t="s">
        <v>727</v>
      </c>
      <c r="EA8" s="536" t="s">
        <v>728</v>
      </c>
      <c r="EB8" s="536" t="s">
        <v>785</v>
      </c>
      <c r="EC8" s="536" t="s">
        <v>786</v>
      </c>
      <c r="ED8" s="536" t="s">
        <v>787</v>
      </c>
      <c r="EE8" s="536" t="s">
        <v>788</v>
      </c>
      <c r="EF8" s="536" t="s">
        <v>789</v>
      </c>
      <c r="EG8" s="536" t="s">
        <v>790</v>
      </c>
      <c r="EH8" s="536" t="s">
        <v>791</v>
      </c>
      <c r="EI8" s="536" t="s">
        <v>792</v>
      </c>
      <c r="EJ8" s="536" t="s">
        <v>793</v>
      </c>
      <c r="EK8" s="536" t="s">
        <v>867</v>
      </c>
      <c r="EL8" s="536" t="s">
        <v>886</v>
      </c>
      <c r="EM8" s="536" t="s">
        <v>887</v>
      </c>
      <c r="EN8" s="536" t="s">
        <v>888</v>
      </c>
      <c r="EO8" s="53" t="s">
        <v>991</v>
      </c>
      <c r="EP8" s="53" t="s">
        <v>997</v>
      </c>
      <c r="EQ8" s="53" t="s">
        <v>998</v>
      </c>
      <c r="ER8" s="536">
        <v>148</v>
      </c>
      <c r="ES8" s="536" t="s">
        <v>1010</v>
      </c>
      <c r="ET8" s="1522" t="s">
        <v>1128</v>
      </c>
      <c r="EU8" s="1522" t="s">
        <v>1129</v>
      </c>
    </row>
    <row r="9" spans="1:151" s="793" customFormat="1" ht="14.25" customHeight="1">
      <c r="A9" s="828" t="s">
        <v>69</v>
      </c>
      <c r="B9" s="775" t="s">
        <v>512</v>
      </c>
      <c r="C9" s="776" t="s">
        <v>8</v>
      </c>
      <c r="D9" s="777" t="s">
        <v>25</v>
      </c>
      <c r="E9" s="775" t="s">
        <v>26</v>
      </c>
      <c r="F9" s="775">
        <v>32</v>
      </c>
      <c r="G9" s="778"/>
      <c r="H9" s="829" t="s">
        <v>313</v>
      </c>
      <c r="I9" s="830" t="s">
        <v>1082</v>
      </c>
      <c r="J9" s="780" t="s">
        <v>1072</v>
      </c>
      <c r="K9" s="780" t="s">
        <v>1087</v>
      </c>
      <c r="L9" s="780" t="s">
        <v>1106</v>
      </c>
      <c r="M9" s="780" t="s">
        <v>646</v>
      </c>
      <c r="N9" s="780" t="s">
        <v>416</v>
      </c>
      <c r="O9" s="780" t="s">
        <v>413</v>
      </c>
      <c r="P9" s="780" t="s">
        <v>478</v>
      </c>
      <c r="Q9" s="780" t="s">
        <v>479</v>
      </c>
      <c r="R9" s="780" t="s">
        <v>480</v>
      </c>
      <c r="S9" s="780"/>
      <c r="T9" s="780"/>
      <c r="U9" s="780"/>
      <c r="V9" s="780"/>
      <c r="W9" s="780"/>
      <c r="X9" s="831"/>
      <c r="Y9" s="832" t="s">
        <v>261</v>
      </c>
      <c r="Z9" s="780" t="s">
        <v>481</v>
      </c>
      <c r="AA9" s="780" t="s">
        <v>203</v>
      </c>
      <c r="AB9" s="780" t="s">
        <v>204</v>
      </c>
      <c r="AC9" s="780"/>
      <c r="AD9" s="780"/>
      <c r="AE9" s="780"/>
      <c r="AF9" s="831"/>
      <c r="AG9" s="832"/>
      <c r="AH9" s="780"/>
      <c r="AI9" s="780"/>
      <c r="AJ9" s="833"/>
      <c r="AK9" s="830"/>
      <c r="AL9" s="780"/>
      <c r="AM9" s="780"/>
      <c r="AN9" s="831"/>
      <c r="AO9" s="834"/>
      <c r="AP9" s="834"/>
      <c r="AQ9" s="834"/>
      <c r="AR9" s="835"/>
      <c r="AS9" s="836" t="s">
        <v>1073</v>
      </c>
      <c r="AT9" s="837"/>
      <c r="AU9" s="836" t="s">
        <v>1100</v>
      </c>
      <c r="AV9" s="837"/>
      <c r="AW9" s="836" t="s">
        <v>1107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655</v>
      </c>
      <c r="BW9" s="534" t="s">
        <v>381</v>
      </c>
      <c r="BX9" s="534" t="s">
        <v>382</v>
      </c>
      <c r="BY9" s="534" t="s">
        <v>1088</v>
      </c>
      <c r="BZ9" s="534" t="s">
        <v>636</v>
      </c>
      <c r="CA9" s="534" t="s">
        <v>526</v>
      </c>
      <c r="CB9" s="534" t="s">
        <v>527</v>
      </c>
      <c r="CC9" s="534" t="s">
        <v>528</v>
      </c>
      <c r="CD9" s="534" t="s">
        <v>529</v>
      </c>
      <c r="CE9" s="534"/>
      <c r="CF9" s="534"/>
      <c r="CG9" s="534"/>
      <c r="CH9" s="534"/>
      <c r="CI9" s="534" t="s">
        <v>665</v>
      </c>
      <c r="CJ9" s="534" t="s">
        <v>530</v>
      </c>
      <c r="CK9" s="534" t="s">
        <v>649</v>
      </c>
      <c r="CL9" s="534" t="s">
        <v>651</v>
      </c>
      <c r="CM9" s="534" t="s">
        <v>653</v>
      </c>
      <c r="CN9" s="534">
        <v>1088</v>
      </c>
      <c r="CO9" s="534">
        <v>720</v>
      </c>
      <c r="CP9" s="534">
        <v>1088</v>
      </c>
      <c r="CQ9" s="841" t="s">
        <v>1089</v>
      </c>
      <c r="CR9" s="841" t="s">
        <v>637</v>
      </c>
      <c r="CS9" s="534"/>
      <c r="CT9" s="534"/>
      <c r="CU9" s="534"/>
      <c r="CV9" s="534" t="s">
        <v>660</v>
      </c>
      <c r="CW9" s="534" t="s">
        <v>525</v>
      </c>
      <c r="CX9" s="534" t="s">
        <v>447</v>
      </c>
      <c r="CY9" s="534" t="s">
        <v>569</v>
      </c>
      <c r="CZ9" s="534" t="s">
        <v>570</v>
      </c>
      <c r="DA9" s="534" t="s">
        <v>571</v>
      </c>
      <c r="DB9" s="836" t="s">
        <v>1074</v>
      </c>
      <c r="DC9" s="836" t="s">
        <v>1075</v>
      </c>
      <c r="DD9" s="534"/>
      <c r="DE9" s="534" t="s">
        <v>304</v>
      </c>
      <c r="DF9" s="534"/>
      <c r="DG9" s="534" t="s">
        <v>582</v>
      </c>
      <c r="DH9" s="534" t="s">
        <v>657</v>
      </c>
      <c r="DI9" s="534" t="s">
        <v>658</v>
      </c>
      <c r="DJ9" s="534" t="s">
        <v>659</v>
      </c>
      <c r="DK9" s="534"/>
      <c r="DL9" s="534"/>
      <c r="DM9" s="534"/>
      <c r="DN9" s="534"/>
      <c r="DO9" s="534"/>
      <c r="DP9" s="534"/>
      <c r="DQ9" s="534"/>
      <c r="DR9" s="534"/>
      <c r="DS9" s="534"/>
      <c r="DT9" s="534"/>
      <c r="DU9" s="534" t="s">
        <v>873</v>
      </c>
      <c r="DV9" s="534" t="s">
        <v>868</v>
      </c>
      <c r="DW9" s="534" t="s">
        <v>869</v>
      </c>
      <c r="DX9" s="534" t="s">
        <v>870</v>
      </c>
      <c r="DY9" s="534" t="s">
        <v>871</v>
      </c>
      <c r="DZ9" s="534"/>
      <c r="EA9" s="534"/>
      <c r="EB9" s="534"/>
      <c r="EC9" s="534"/>
      <c r="ED9" s="534"/>
      <c r="EE9" s="534"/>
      <c r="EF9" s="534"/>
      <c r="EG9" s="534"/>
      <c r="EH9" s="534"/>
      <c r="EI9" s="534"/>
      <c r="EJ9" s="534"/>
      <c r="EK9" s="534"/>
      <c r="EL9" s="841" t="s">
        <v>1061</v>
      </c>
      <c r="EM9" s="841" t="s">
        <v>1062</v>
      </c>
      <c r="EN9" s="534" t="s">
        <v>1060</v>
      </c>
      <c r="EO9" s="1323" t="s">
        <v>1065</v>
      </c>
      <c r="EP9" s="1323" t="s">
        <v>1090</v>
      </c>
      <c r="EQ9" s="1323" t="s">
        <v>1108</v>
      </c>
      <c r="ER9" s="1341">
        <v>1200</v>
      </c>
      <c r="ES9" s="1336"/>
      <c r="ET9" s="1523"/>
      <c r="EU9" s="1523"/>
    </row>
    <row r="10" spans="1:151" ht="14.25" customHeight="1">
      <c r="A10" s="147" t="s">
        <v>183</v>
      </c>
      <c r="B10" s="21" t="s">
        <v>512</v>
      </c>
      <c r="C10" s="22" t="s">
        <v>8</v>
      </c>
      <c r="D10" s="23" t="s">
        <v>111</v>
      </c>
      <c r="E10" s="21" t="s">
        <v>111</v>
      </c>
      <c r="F10" s="21" t="s">
        <v>178</v>
      </c>
      <c r="G10" s="6"/>
      <c r="H10" s="146"/>
      <c r="I10" s="193" t="s">
        <v>682</v>
      </c>
      <c r="J10" s="194" t="s">
        <v>680</v>
      </c>
      <c r="K10" s="194" t="s">
        <v>681</v>
      </c>
      <c r="L10" s="194" t="s">
        <v>686</v>
      </c>
      <c r="M10" s="60" t="s">
        <v>672</v>
      </c>
      <c r="N10" s="60" t="s">
        <v>179</v>
      </c>
      <c r="O10" s="60" t="s">
        <v>284</v>
      </c>
      <c r="P10" s="60" t="s">
        <v>180</v>
      </c>
      <c r="Q10" s="60" t="s">
        <v>181</v>
      </c>
      <c r="R10" s="60" t="s">
        <v>182</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388</v>
      </c>
      <c r="BW10" s="167" t="s">
        <v>452</v>
      </c>
      <c r="BX10" s="167" t="s">
        <v>453</v>
      </c>
      <c r="BY10" s="167" t="s">
        <v>1020</v>
      </c>
      <c r="BZ10" s="167"/>
      <c r="CA10" s="167"/>
      <c r="CB10" s="167"/>
      <c r="CC10" s="167"/>
      <c r="CD10" s="167"/>
      <c r="CE10" s="167"/>
      <c r="CF10" s="167"/>
      <c r="CG10" s="167"/>
      <c r="CH10" s="167"/>
      <c r="CI10" s="167" t="s">
        <v>667</v>
      </c>
      <c r="CJ10" s="167" t="s">
        <v>378</v>
      </c>
      <c r="CK10" s="167" t="s">
        <v>599</v>
      </c>
      <c r="CL10" s="167" t="s">
        <v>600</v>
      </c>
      <c r="CM10" s="167" t="s">
        <v>601</v>
      </c>
      <c r="CN10" s="167">
        <v>1175</v>
      </c>
      <c r="CO10" s="167">
        <v>0</v>
      </c>
      <c r="CP10" s="315" t="s">
        <v>532</v>
      </c>
      <c r="CQ10" s="167" t="s">
        <v>1021</v>
      </c>
      <c r="CR10" s="167"/>
      <c r="CS10" s="167"/>
      <c r="CT10" s="169"/>
      <c r="CU10" s="169"/>
      <c r="CV10" s="169" t="s">
        <v>399</v>
      </c>
      <c r="CW10" s="169" t="s">
        <v>439</v>
      </c>
      <c r="CX10" s="169" t="s">
        <v>442</v>
      </c>
      <c r="CY10" s="169" t="s">
        <v>668</v>
      </c>
      <c r="CZ10" s="169" t="s">
        <v>669</v>
      </c>
      <c r="DA10" s="169" t="s">
        <v>670</v>
      </c>
      <c r="DB10" s="355" t="s">
        <v>683</v>
      </c>
      <c r="DC10" s="354"/>
      <c r="DD10" s="169"/>
      <c r="DE10" s="169" t="s">
        <v>305</v>
      </c>
      <c r="DF10" s="169"/>
      <c r="DG10" s="169" t="s">
        <v>671</v>
      </c>
      <c r="DH10" s="167" t="s">
        <v>547</v>
      </c>
      <c r="DI10" s="167" t="s">
        <v>545</v>
      </c>
      <c r="DJ10" s="167" t="s">
        <v>546</v>
      </c>
      <c r="DK10" s="167"/>
      <c r="DL10" s="167"/>
      <c r="DM10" s="315"/>
      <c r="DN10" s="315"/>
      <c r="DO10" s="315"/>
      <c r="DP10" s="315"/>
      <c r="DQ10" s="315"/>
      <c r="DR10" s="315"/>
      <c r="DS10" s="315"/>
      <c r="DT10" s="315"/>
      <c r="DU10" s="168" t="s">
        <v>795</v>
      </c>
      <c r="DV10" s="315" t="s">
        <v>922</v>
      </c>
      <c r="DW10" s="315" t="s">
        <v>919</v>
      </c>
      <c r="DX10" s="315" t="s">
        <v>920</v>
      </c>
      <c r="DY10" s="315" t="s">
        <v>921</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42">
        <v>1600</v>
      </c>
      <c r="ES10" s="381"/>
      <c r="ET10" s="1523"/>
      <c r="EU10" s="1523"/>
    </row>
    <row r="11" spans="1:151" s="793" customFormat="1" ht="14.25" customHeight="1" thickBot="1">
      <c r="A11" s="828" t="s">
        <v>513</v>
      </c>
      <c r="B11" s="775" t="s">
        <v>512</v>
      </c>
      <c r="C11" s="776" t="s">
        <v>8</v>
      </c>
      <c r="D11" s="777" t="s">
        <v>25</v>
      </c>
      <c r="E11" s="775" t="s">
        <v>75</v>
      </c>
      <c r="F11" s="775">
        <v>32</v>
      </c>
      <c r="G11" s="778"/>
      <c r="H11" s="795" t="s">
        <v>49</v>
      </c>
      <c r="I11" s="351" t="s">
        <v>1083</v>
      </c>
      <c r="J11" s="350" t="s">
        <v>1076</v>
      </c>
      <c r="K11" s="350" t="s">
        <v>1101</v>
      </c>
      <c r="L11" s="350" t="s">
        <v>1109</v>
      </c>
      <c r="M11" s="350" t="s">
        <v>645</v>
      </c>
      <c r="N11" s="350" t="s">
        <v>53</v>
      </c>
      <c r="O11" s="780" t="s">
        <v>281</v>
      </c>
      <c r="P11" s="350" t="s">
        <v>54</v>
      </c>
      <c r="Q11" s="350" t="s">
        <v>55</v>
      </c>
      <c r="R11" s="350" t="s">
        <v>122</v>
      </c>
      <c r="S11" s="350"/>
      <c r="T11" s="350"/>
      <c r="U11" s="350"/>
      <c r="V11" s="350"/>
      <c r="W11" s="350"/>
      <c r="X11" s="781"/>
      <c r="Y11" s="832" t="s">
        <v>261</v>
      </c>
      <c r="Z11" s="780" t="s">
        <v>481</v>
      </c>
      <c r="AA11" s="780" t="s">
        <v>203</v>
      </c>
      <c r="AB11" s="780" t="s">
        <v>204</v>
      </c>
      <c r="AC11" s="350"/>
      <c r="AD11" s="350"/>
      <c r="AE11" s="350"/>
      <c r="AF11" s="781"/>
      <c r="AG11" s="782"/>
      <c r="AH11" s="350"/>
      <c r="AI11" s="350"/>
      <c r="AJ11" s="783"/>
      <c r="AK11" s="351"/>
      <c r="AL11" s="350"/>
      <c r="AM11" s="350"/>
      <c r="AN11" s="781"/>
      <c r="AO11" s="784"/>
      <c r="AP11" s="784"/>
      <c r="AQ11" s="784"/>
      <c r="AR11" s="834"/>
      <c r="AS11" s="782" t="s">
        <v>1077</v>
      </c>
      <c r="AT11" s="783"/>
      <c r="AU11" s="782" t="s">
        <v>1102</v>
      </c>
      <c r="AV11" s="783"/>
      <c r="AW11" s="782" t="s">
        <v>1110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654</v>
      </c>
      <c r="BW11" s="534" t="s">
        <v>324</v>
      </c>
      <c r="BX11" s="534" t="s">
        <v>325</v>
      </c>
      <c r="BY11" s="796" t="s">
        <v>1103</v>
      </c>
      <c r="BZ11" s="534" t="s">
        <v>987</v>
      </c>
      <c r="CA11" s="534" t="s">
        <v>360</v>
      </c>
      <c r="CB11" s="534" t="s">
        <v>355</v>
      </c>
      <c r="CC11" s="534" t="s">
        <v>356</v>
      </c>
      <c r="CD11" s="534" t="s">
        <v>357</v>
      </c>
      <c r="CE11" s="796"/>
      <c r="CF11" s="796"/>
      <c r="CG11" s="796"/>
      <c r="CH11" s="796"/>
      <c r="CI11" s="796" t="s">
        <v>638</v>
      </c>
      <c r="CJ11" s="796" t="s">
        <v>372</v>
      </c>
      <c r="CK11" s="534" t="s">
        <v>648</v>
      </c>
      <c r="CL11" s="534" t="s">
        <v>650</v>
      </c>
      <c r="CM11" s="534" t="s">
        <v>652</v>
      </c>
      <c r="CN11" s="534">
        <v>1088</v>
      </c>
      <c r="CO11" s="796">
        <v>1000</v>
      </c>
      <c r="CP11" s="534">
        <v>1088</v>
      </c>
      <c r="CQ11" s="534" t="s">
        <v>1091</v>
      </c>
      <c r="CR11" s="534" t="s">
        <v>988</v>
      </c>
      <c r="CS11" s="796"/>
      <c r="CT11" s="534"/>
      <c r="CU11" s="534"/>
      <c r="CV11" s="534" t="s">
        <v>660</v>
      </c>
      <c r="CW11" s="534" t="s">
        <v>432</v>
      </c>
      <c r="CX11" s="534" t="s">
        <v>447</v>
      </c>
      <c r="CY11" s="534" t="s">
        <v>569</v>
      </c>
      <c r="CZ11" s="534" t="s">
        <v>570</v>
      </c>
      <c r="DA11" s="534" t="s">
        <v>571</v>
      </c>
      <c r="DB11" s="363" t="s">
        <v>1078</v>
      </c>
      <c r="DC11" s="363" t="s">
        <v>1079</v>
      </c>
      <c r="DD11" s="534"/>
      <c r="DE11" s="534" t="s">
        <v>306</v>
      </c>
      <c r="DF11" s="534"/>
      <c r="DG11" s="534" t="s">
        <v>582</v>
      </c>
      <c r="DH11" s="534" t="s">
        <v>657</v>
      </c>
      <c r="DI11" s="534" t="s">
        <v>658</v>
      </c>
      <c r="DJ11" s="534" t="s">
        <v>659</v>
      </c>
      <c r="DK11" s="534"/>
      <c r="DL11" s="534"/>
      <c r="DM11" s="841"/>
      <c r="DN11" s="841"/>
      <c r="DO11" s="841"/>
      <c r="DP11" s="841"/>
      <c r="DQ11" s="841"/>
      <c r="DR11" s="841"/>
      <c r="DS11" s="841"/>
      <c r="DT11" s="841"/>
      <c r="DU11" s="841" t="s">
        <v>873</v>
      </c>
      <c r="DV11" s="841" t="s">
        <v>868</v>
      </c>
      <c r="DW11" s="841" t="s">
        <v>869</v>
      </c>
      <c r="DX11" s="841" t="s">
        <v>870</v>
      </c>
      <c r="DY11" s="841" t="s">
        <v>871</v>
      </c>
      <c r="DZ11" s="841"/>
      <c r="EA11" s="841"/>
      <c r="EB11" s="841"/>
      <c r="EC11" s="841"/>
      <c r="ED11" s="841"/>
      <c r="EE11" s="841"/>
      <c r="EF11" s="841"/>
      <c r="EG11" s="841"/>
      <c r="EH11" s="841"/>
      <c r="EI11" s="841"/>
      <c r="EJ11" s="841"/>
      <c r="EK11" s="841"/>
      <c r="EL11" s="841"/>
      <c r="EM11" s="841"/>
      <c r="EN11" s="841"/>
      <c r="EO11" s="1367" t="s">
        <v>1116</v>
      </c>
      <c r="EP11" s="1367" t="s">
        <v>1092</v>
      </c>
      <c r="EQ11" s="1367" t="s">
        <v>1111</v>
      </c>
      <c r="ER11" s="1343">
        <v>1323</v>
      </c>
      <c r="ES11" s="1337"/>
      <c r="ET11" s="1523"/>
      <c r="EU11" s="1523"/>
    </row>
    <row r="12" spans="1:151" s="793" customFormat="1" ht="14.25" customHeight="1">
      <c r="A12" s="828" t="s">
        <v>514</v>
      </c>
      <c r="B12" s="775" t="s">
        <v>512</v>
      </c>
      <c r="C12" s="776" t="s">
        <v>8</v>
      </c>
      <c r="D12" s="777" t="s">
        <v>25</v>
      </c>
      <c r="E12" s="775" t="s">
        <v>25</v>
      </c>
      <c r="F12" s="775">
        <v>31</v>
      </c>
      <c r="G12" s="778"/>
      <c r="H12" s="844"/>
      <c r="I12" s="351" t="s">
        <v>1084</v>
      </c>
      <c r="J12" s="350" t="s">
        <v>1117</v>
      </c>
      <c r="K12" s="350" t="s">
        <v>1093</v>
      </c>
      <c r="L12" s="350" t="s">
        <v>1112</v>
      </c>
      <c r="M12" s="350" t="s">
        <v>673</v>
      </c>
      <c r="N12" s="350" t="s">
        <v>53</v>
      </c>
      <c r="O12" s="780" t="s">
        <v>281</v>
      </c>
      <c r="P12" s="350" t="s">
        <v>489</v>
      </c>
      <c r="Q12" s="350" t="s">
        <v>490</v>
      </c>
      <c r="R12" s="350" t="s">
        <v>491</v>
      </c>
      <c r="S12" s="350"/>
      <c r="T12" s="350"/>
      <c r="U12" s="350"/>
      <c r="V12" s="350"/>
      <c r="W12" s="350"/>
      <c r="X12" s="781"/>
      <c r="Y12" s="832" t="s">
        <v>261</v>
      </c>
      <c r="Z12" s="780" t="s">
        <v>481</v>
      </c>
      <c r="AA12" s="780" t="s">
        <v>203</v>
      </c>
      <c r="AB12" s="780" t="s">
        <v>204</v>
      </c>
      <c r="AC12" s="350"/>
      <c r="AD12" s="350"/>
      <c r="AE12" s="350"/>
      <c r="AF12" s="781"/>
      <c r="AG12" s="782"/>
      <c r="AH12" s="350"/>
      <c r="AI12" s="350"/>
      <c r="AJ12" s="783"/>
      <c r="AK12" s="351"/>
      <c r="AL12" s="350"/>
      <c r="AM12" s="350"/>
      <c r="AN12" s="781"/>
      <c r="AO12" s="784"/>
      <c r="AP12" s="784"/>
      <c r="AQ12" s="784"/>
      <c r="AR12" s="834"/>
      <c r="AS12" s="782" t="s">
        <v>1118</v>
      </c>
      <c r="AT12" s="783"/>
      <c r="AU12" s="782" t="s">
        <v>1094</v>
      </c>
      <c r="AV12" s="783"/>
      <c r="AW12" s="782" t="s">
        <v>1113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656</v>
      </c>
      <c r="BW12" s="534" t="s">
        <v>492</v>
      </c>
      <c r="BX12" s="534" t="s">
        <v>493</v>
      </c>
      <c r="BY12" s="796" t="s">
        <v>1095</v>
      </c>
      <c r="BZ12" s="534"/>
      <c r="CA12" s="534" t="s">
        <v>360</v>
      </c>
      <c r="CB12" s="534" t="s">
        <v>355</v>
      </c>
      <c r="CC12" s="534" t="s">
        <v>356</v>
      </c>
      <c r="CD12" s="534" t="s">
        <v>357</v>
      </c>
      <c r="CE12" s="796"/>
      <c r="CF12" s="796"/>
      <c r="CG12" s="796"/>
      <c r="CH12" s="796"/>
      <c r="CI12" s="796" t="s">
        <v>638</v>
      </c>
      <c r="CJ12" s="796" t="s">
        <v>372</v>
      </c>
      <c r="CK12" s="534" t="s">
        <v>649</v>
      </c>
      <c r="CL12" s="534" t="s">
        <v>651</v>
      </c>
      <c r="CM12" s="534" t="s">
        <v>653</v>
      </c>
      <c r="CN12" s="841" t="s">
        <v>428</v>
      </c>
      <c r="CO12" s="796">
        <v>2880</v>
      </c>
      <c r="CP12" s="841" t="s">
        <v>385</v>
      </c>
      <c r="CQ12" s="841" t="s">
        <v>1096</v>
      </c>
      <c r="CR12" s="841"/>
      <c r="CS12" s="796"/>
      <c r="CT12" s="534"/>
      <c r="CU12" s="534"/>
      <c r="CV12" s="534" t="s">
        <v>660</v>
      </c>
      <c r="CW12" s="534" t="s">
        <v>432</v>
      </c>
      <c r="CX12" s="534" t="s">
        <v>447</v>
      </c>
      <c r="CY12" s="534" t="s">
        <v>569</v>
      </c>
      <c r="CZ12" s="534" t="s">
        <v>570</v>
      </c>
      <c r="DA12" s="534" t="s">
        <v>571</v>
      </c>
      <c r="DB12" s="836" t="s">
        <v>1119</v>
      </c>
      <c r="DC12" s="836" t="s">
        <v>1120</v>
      </c>
      <c r="DD12" s="534"/>
      <c r="DE12" s="534" t="s">
        <v>307</v>
      </c>
      <c r="DF12" s="534"/>
      <c r="DG12" s="534" t="s">
        <v>582</v>
      </c>
      <c r="DH12" s="534" t="s">
        <v>657</v>
      </c>
      <c r="DI12" s="534" t="s">
        <v>658</v>
      </c>
      <c r="DJ12" s="534" t="s">
        <v>659</v>
      </c>
      <c r="DK12" s="534"/>
      <c r="DL12" s="534"/>
      <c r="DM12" s="841"/>
      <c r="DN12" s="841"/>
      <c r="DO12" s="841"/>
      <c r="DP12" s="841"/>
      <c r="DQ12" s="841"/>
      <c r="DR12" s="841"/>
      <c r="DS12" s="841"/>
      <c r="DT12" s="841"/>
      <c r="DU12" s="841" t="s">
        <v>873</v>
      </c>
      <c r="DV12" s="841" t="s">
        <v>868</v>
      </c>
      <c r="DW12" s="841" t="s">
        <v>869</v>
      </c>
      <c r="DX12" s="841" t="s">
        <v>870</v>
      </c>
      <c r="DY12" s="841" t="s">
        <v>871</v>
      </c>
      <c r="DZ12" s="841"/>
      <c r="EA12" s="841"/>
      <c r="EB12" s="841"/>
      <c r="EC12" s="841"/>
      <c r="ED12" s="841"/>
      <c r="EE12" s="841"/>
      <c r="EF12" s="841"/>
      <c r="EG12" s="841"/>
      <c r="EH12" s="841"/>
      <c r="EI12" s="841"/>
      <c r="EJ12" s="841"/>
      <c r="EK12" s="841"/>
      <c r="EL12" s="841" t="s">
        <v>1061</v>
      </c>
      <c r="EM12" s="841" t="s">
        <v>1062</v>
      </c>
      <c r="EN12" s="534" t="s">
        <v>1060</v>
      </c>
      <c r="EO12" s="1323" t="s">
        <v>1080</v>
      </c>
      <c r="EP12" s="1323" t="s">
        <v>1097</v>
      </c>
      <c r="EQ12" s="1323" t="s">
        <v>1114</v>
      </c>
      <c r="ER12" s="1341">
        <v>680</v>
      </c>
      <c r="ES12" s="1338"/>
      <c r="ET12" s="1523"/>
      <c r="EU12" s="1523"/>
    </row>
    <row r="13" spans="1:151"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289</v>
      </c>
      <c r="P13" s="26" t="s">
        <v>191</v>
      </c>
      <c r="Q13" s="26" t="s">
        <v>193</v>
      </c>
      <c r="R13" s="26" t="s">
        <v>192</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390</v>
      </c>
      <c r="BW13" s="170"/>
      <c r="BX13" s="170"/>
      <c r="BY13" s="170" t="s">
        <v>424</v>
      </c>
      <c r="BZ13" s="170"/>
      <c r="CA13" s="170"/>
      <c r="CB13" s="170"/>
      <c r="CC13" s="170"/>
      <c r="CD13" s="170"/>
      <c r="CE13" s="170"/>
      <c r="CF13" s="170"/>
      <c r="CG13" s="170"/>
      <c r="CH13" s="170"/>
      <c r="CI13" s="170" t="s">
        <v>374</v>
      </c>
      <c r="CJ13" s="170" t="s">
        <v>375</v>
      </c>
      <c r="CK13" s="170" t="s">
        <v>602</v>
      </c>
      <c r="CL13" s="170" t="s">
        <v>603</v>
      </c>
      <c r="CM13" s="170" t="s">
        <v>604</v>
      </c>
      <c r="CN13" s="170">
        <v>1262</v>
      </c>
      <c r="CO13" s="170"/>
      <c r="CP13" s="170">
        <v>1262</v>
      </c>
      <c r="CQ13" s="170" t="s">
        <v>425</v>
      </c>
      <c r="CR13" s="170"/>
      <c r="CS13" s="170"/>
      <c r="CT13" s="169"/>
      <c r="CU13" s="169"/>
      <c r="CV13" s="169" t="s">
        <v>401</v>
      </c>
      <c r="CW13" s="169"/>
      <c r="CX13" s="169"/>
      <c r="CY13" s="169"/>
      <c r="CZ13" s="169"/>
      <c r="DA13" s="169"/>
      <c r="DB13" s="160" t="s">
        <v>136</v>
      </c>
      <c r="DC13" s="356"/>
      <c r="DD13" s="169"/>
      <c r="DE13" s="169" t="s">
        <v>308</v>
      </c>
      <c r="DF13" s="169"/>
      <c r="DG13" s="534"/>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515</v>
      </c>
      <c r="B16" s="775" t="s">
        <v>512</v>
      </c>
      <c r="C16" s="776" t="s">
        <v>8</v>
      </c>
      <c r="D16" s="777" t="s">
        <v>25</v>
      </c>
      <c r="E16" s="775" t="s">
        <v>27</v>
      </c>
      <c r="F16" s="775">
        <v>33</v>
      </c>
      <c r="G16" s="778"/>
      <c r="H16" s="779"/>
      <c r="I16" s="351" t="s">
        <v>676</v>
      </c>
      <c r="J16" s="350" t="s">
        <v>1040</v>
      </c>
      <c r="K16" s="350" t="s">
        <v>1048</v>
      </c>
      <c r="L16" s="350" t="s">
        <v>1053</v>
      </c>
      <c r="M16" s="350" t="s">
        <v>675</v>
      </c>
      <c r="N16" s="350" t="s">
        <v>414</v>
      </c>
      <c r="O16" s="780" t="s">
        <v>415</v>
      </c>
      <c r="P16" s="350" t="s">
        <v>628</v>
      </c>
      <c r="Q16" s="350" t="s">
        <v>629</v>
      </c>
      <c r="R16" s="350" t="s">
        <v>630</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986</v>
      </c>
      <c r="AT16" s="783" t="s">
        <v>933</v>
      </c>
      <c r="AU16" s="782" t="s">
        <v>687</v>
      </c>
      <c r="AV16" s="783" t="s">
        <v>934</v>
      </c>
      <c r="AW16" s="782" t="s">
        <v>688</v>
      </c>
      <c r="AX16" s="783" t="s">
        <v>935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488</v>
      </c>
      <c r="BW16" s="791" t="s">
        <v>383</v>
      </c>
      <c r="BX16" s="791" t="s">
        <v>384</v>
      </c>
      <c r="BY16" s="792" t="s">
        <v>1022</v>
      </c>
      <c r="BZ16" s="792" t="s">
        <v>1104</v>
      </c>
      <c r="CA16" s="791"/>
      <c r="CB16" s="791"/>
      <c r="CC16" s="791"/>
      <c r="CD16" s="791"/>
      <c r="CE16" s="791"/>
      <c r="CF16" s="791"/>
      <c r="CG16" s="791"/>
      <c r="CH16" s="791"/>
      <c r="CI16" s="791" t="s">
        <v>644</v>
      </c>
      <c r="CJ16" s="791" t="s">
        <v>507</v>
      </c>
      <c r="CK16" s="791" t="s">
        <v>605</v>
      </c>
      <c r="CL16" s="791" t="s">
        <v>606</v>
      </c>
      <c r="CM16" s="791" t="s">
        <v>607</v>
      </c>
      <c r="CN16" s="791">
        <v>1262</v>
      </c>
      <c r="CO16" s="791">
        <v>6600</v>
      </c>
      <c r="CP16" s="791">
        <v>1262</v>
      </c>
      <c r="CQ16" s="792" t="s">
        <v>677</v>
      </c>
      <c r="CR16" s="792" t="s">
        <v>1098</v>
      </c>
      <c r="CS16" s="791" t="s">
        <v>497</v>
      </c>
      <c r="CT16" s="534"/>
      <c r="CU16" s="534"/>
      <c r="CV16" s="534" t="s">
        <v>482</v>
      </c>
      <c r="CW16" s="534" t="s">
        <v>433</v>
      </c>
      <c r="CX16" s="534" t="s">
        <v>215</v>
      </c>
      <c r="CY16" s="534"/>
      <c r="CZ16" s="534"/>
      <c r="DA16" s="534"/>
      <c r="DB16" s="363" t="s">
        <v>1041</v>
      </c>
      <c r="DC16" s="363" t="s">
        <v>1042</v>
      </c>
      <c r="DD16" s="534"/>
      <c r="DE16" s="534" t="s">
        <v>685</v>
      </c>
      <c r="DF16" s="534" t="s">
        <v>524</v>
      </c>
      <c r="DG16" s="534"/>
      <c r="DH16" s="791" t="s">
        <v>542</v>
      </c>
      <c r="DI16" s="791" t="s">
        <v>543</v>
      </c>
      <c r="DJ16" s="791" t="s">
        <v>544</v>
      </c>
      <c r="DK16" s="791"/>
      <c r="DL16" s="791"/>
      <c r="DM16" s="791"/>
      <c r="DN16" s="791"/>
      <c r="DO16" s="791"/>
      <c r="DP16" s="791"/>
      <c r="DQ16" s="791"/>
      <c r="DR16" s="791"/>
      <c r="DS16" s="791"/>
      <c r="DT16" s="791"/>
      <c r="DU16" s="791" t="s">
        <v>794</v>
      </c>
      <c r="DV16" s="791"/>
      <c r="DW16" s="791"/>
      <c r="DX16" s="791"/>
      <c r="DY16" s="791"/>
      <c r="DZ16" s="791"/>
      <c r="EA16" s="791"/>
      <c r="EB16" s="791" t="s">
        <v>983</v>
      </c>
      <c r="EC16" s="791" t="s">
        <v>807</v>
      </c>
      <c r="ED16" s="791"/>
      <c r="EE16" s="791">
        <v>6000</v>
      </c>
      <c r="EF16" s="791">
        <v>650</v>
      </c>
      <c r="EG16" s="791"/>
      <c r="EH16" s="791"/>
      <c r="EI16" s="791" t="s">
        <v>808</v>
      </c>
      <c r="EJ16" s="791"/>
      <c r="EK16" s="791"/>
      <c r="EL16" s="791"/>
      <c r="EM16" s="791"/>
      <c r="EN16" s="791"/>
      <c r="EO16" s="1322" t="s">
        <v>1081</v>
      </c>
      <c r="EP16" s="1322" t="s">
        <v>1099</v>
      </c>
      <c r="EQ16" s="1322" t="s">
        <v>1115</v>
      </c>
      <c r="ER16" s="1345" t="s">
        <v>1031</v>
      </c>
      <c r="ES16" s="1337"/>
      <c r="ET16" s="1523"/>
      <c r="EU16" s="1523"/>
    </row>
    <row r="17" spans="1:151" ht="14.25" customHeight="1">
      <c r="A17" s="7" t="s">
        <v>514</v>
      </c>
      <c r="B17" s="21" t="s">
        <v>512</v>
      </c>
      <c r="C17" s="22" t="s">
        <v>8</v>
      </c>
      <c r="D17" s="23" t="s">
        <v>25</v>
      </c>
      <c r="E17" s="21" t="s">
        <v>25</v>
      </c>
      <c r="F17" s="21">
        <v>31</v>
      </c>
      <c r="G17" s="6"/>
      <c r="H17" s="24"/>
      <c r="I17" s="25" t="s">
        <v>676</v>
      </c>
      <c r="J17" s="26" t="s">
        <v>1043</v>
      </c>
      <c r="K17" s="26" t="s">
        <v>1049</v>
      </c>
      <c r="L17" s="26" t="s">
        <v>1054</v>
      </c>
      <c r="M17" s="26" t="s">
        <v>675</v>
      </c>
      <c r="N17" s="26" t="s">
        <v>195</v>
      </c>
      <c r="O17" s="60" t="s">
        <v>282</v>
      </c>
      <c r="P17" s="26" t="s">
        <v>628</v>
      </c>
      <c r="Q17" s="26" t="s">
        <v>629</v>
      </c>
      <c r="R17" s="26" t="s">
        <v>630</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692</v>
      </c>
      <c r="BZ17" s="170"/>
      <c r="CA17" s="170"/>
      <c r="CB17" s="170"/>
      <c r="CC17" s="170"/>
      <c r="CD17" s="170"/>
      <c r="CE17" s="170"/>
      <c r="CF17" s="170"/>
      <c r="CG17" s="170"/>
      <c r="CH17" s="170"/>
      <c r="CI17" s="170" t="s">
        <v>644</v>
      </c>
      <c r="CJ17" s="170" t="s">
        <v>507</v>
      </c>
      <c r="CK17" s="168" t="s">
        <v>605</v>
      </c>
      <c r="CL17" s="168" t="s">
        <v>606</v>
      </c>
      <c r="CM17" s="168" t="s">
        <v>607</v>
      </c>
      <c r="CN17" s="315" t="s">
        <v>428</v>
      </c>
      <c r="CO17" s="170">
        <v>2880</v>
      </c>
      <c r="CP17" s="228" t="s">
        <v>386</v>
      </c>
      <c r="CQ17" s="228" t="s">
        <v>677</v>
      </c>
      <c r="CR17" s="228"/>
      <c r="CS17" s="168" t="s">
        <v>497</v>
      </c>
      <c r="CT17" s="169"/>
      <c r="CU17" s="169"/>
      <c r="CV17" s="169" t="s">
        <v>482</v>
      </c>
      <c r="CW17" s="169" t="s">
        <v>433</v>
      </c>
      <c r="CX17" s="169" t="s">
        <v>215</v>
      </c>
      <c r="CY17" s="169"/>
      <c r="CZ17" s="169"/>
      <c r="DA17" s="169"/>
      <c r="DB17" s="160" t="s">
        <v>1045</v>
      </c>
      <c r="DC17" s="160" t="s">
        <v>1046</v>
      </c>
      <c r="DD17" s="169"/>
      <c r="DE17" s="169" t="s">
        <v>685</v>
      </c>
      <c r="DF17" s="169" t="s">
        <v>524</v>
      </c>
      <c r="DG17" s="534"/>
      <c r="DH17" s="168" t="s">
        <v>542</v>
      </c>
      <c r="DI17" s="168" t="s">
        <v>543</v>
      </c>
      <c r="DJ17" s="168" t="s">
        <v>544</v>
      </c>
      <c r="DK17" s="168"/>
      <c r="DL17" s="168"/>
      <c r="DM17" s="168"/>
      <c r="DN17" s="168"/>
      <c r="DO17" s="168"/>
      <c r="DP17" s="168"/>
      <c r="DQ17" s="168"/>
      <c r="DR17" s="168"/>
      <c r="DS17" s="168"/>
      <c r="DT17" s="168"/>
      <c r="DU17" s="168" t="s">
        <v>794</v>
      </c>
      <c r="DV17" s="168"/>
      <c r="DW17" s="168"/>
      <c r="DX17" s="168"/>
      <c r="DY17" s="168"/>
      <c r="DZ17" s="168"/>
      <c r="EA17" s="168"/>
      <c r="EB17" s="168"/>
      <c r="EC17" s="168"/>
      <c r="ED17" s="168"/>
      <c r="EE17" s="168"/>
      <c r="EF17" s="168"/>
      <c r="EG17" s="168"/>
      <c r="EH17" s="168"/>
      <c r="EI17" s="168" t="s">
        <v>808</v>
      </c>
      <c r="EJ17" s="168"/>
      <c r="EK17" s="168"/>
      <c r="EL17" s="168"/>
      <c r="EM17" s="168"/>
      <c r="EN17" s="168"/>
      <c r="EO17" s="1322" t="s">
        <v>1047</v>
      </c>
      <c r="EP17" s="1322" t="s">
        <v>1051</v>
      </c>
      <c r="EQ17" s="1322" t="s">
        <v>1056</v>
      </c>
      <c r="ER17" s="1343">
        <v>1000</v>
      </c>
      <c r="ES17" s="1337"/>
      <c r="ET17" s="1523"/>
      <c r="EU17" s="1523"/>
    </row>
    <row r="18" spans="1:151" ht="14.25" customHeight="1">
      <c r="A18" s="7" t="s">
        <v>183</v>
      </c>
      <c r="B18" s="21" t="s">
        <v>512</v>
      </c>
      <c r="C18" s="22" t="s">
        <v>8</v>
      </c>
      <c r="D18" s="23" t="s">
        <v>111</v>
      </c>
      <c r="E18" s="21" t="s">
        <v>111</v>
      </c>
      <c r="F18" s="21" t="s">
        <v>178</v>
      </c>
      <c r="G18" s="6"/>
      <c r="H18" s="24"/>
      <c r="I18" s="25" t="s">
        <v>184</v>
      </c>
      <c r="J18" s="26" t="s">
        <v>1132</v>
      </c>
      <c r="K18" s="26" t="s">
        <v>186</v>
      </c>
      <c r="L18" s="26" t="s">
        <v>1052</v>
      </c>
      <c r="M18" s="26" t="s">
        <v>674</v>
      </c>
      <c r="N18" s="26" t="s">
        <v>196</v>
      </c>
      <c r="O18" s="26" t="s">
        <v>283</v>
      </c>
      <c r="P18" s="26" t="s">
        <v>622</v>
      </c>
      <c r="Q18" s="26" t="s">
        <v>623</v>
      </c>
      <c r="R18" s="26" t="s">
        <v>624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696</v>
      </c>
      <c r="AT18" s="533" t="s">
        <v>418</v>
      </c>
      <c r="AU18" s="161" t="s">
        <v>419</v>
      </c>
      <c r="AV18" s="533" t="s">
        <v>420</v>
      </c>
      <c r="AW18" s="161" t="s">
        <v>421</v>
      </c>
      <c r="AX18" s="533"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387</v>
      </c>
      <c r="BW18" s="167" t="s">
        <v>394</v>
      </c>
      <c r="BX18" s="167" t="s">
        <v>395</v>
      </c>
      <c r="BY18" s="186" t="s">
        <v>927</v>
      </c>
      <c r="BZ18" s="187" t="s">
        <v>982</v>
      </c>
      <c r="CA18" s="167"/>
      <c r="CB18" s="167"/>
      <c r="CC18" s="167"/>
      <c r="CD18" s="167"/>
      <c r="CE18" s="167"/>
      <c r="CF18" s="167"/>
      <c r="CG18" s="167"/>
      <c r="CH18" s="167"/>
      <c r="CI18" s="167" t="s">
        <v>666</v>
      </c>
      <c r="CJ18" s="167" t="s">
        <v>377</v>
      </c>
      <c r="CK18" s="167" t="s">
        <v>608</v>
      </c>
      <c r="CL18" s="167" t="s">
        <v>609</v>
      </c>
      <c r="CM18" s="167" t="s">
        <v>609</v>
      </c>
      <c r="CN18" s="167">
        <v>1175</v>
      </c>
      <c r="CO18" s="167">
        <v>1800</v>
      </c>
      <c r="CP18" s="315" t="s">
        <v>531</v>
      </c>
      <c r="CQ18" s="167" t="s">
        <v>981</v>
      </c>
      <c r="CR18" s="167"/>
      <c r="CS18" s="167" t="s">
        <v>813</v>
      </c>
      <c r="CT18" s="169"/>
      <c r="CU18" s="169"/>
      <c r="CV18" s="169" t="s">
        <v>398</v>
      </c>
      <c r="CW18" s="169" t="s">
        <v>438</v>
      </c>
      <c r="CX18" s="169" t="s">
        <v>441</v>
      </c>
      <c r="CY18" s="169"/>
      <c r="CZ18" s="169"/>
      <c r="DA18" s="169"/>
      <c r="DB18" s="355" t="s">
        <v>1039</v>
      </c>
      <c r="DC18" s="361"/>
      <c r="DD18" s="169"/>
      <c r="DE18" s="362" t="s">
        <v>684</v>
      </c>
      <c r="DF18" s="362" t="s">
        <v>185</v>
      </c>
      <c r="DG18" s="534"/>
      <c r="DH18" s="167" t="s">
        <v>550</v>
      </c>
      <c r="DI18" s="167" t="s">
        <v>548</v>
      </c>
      <c r="DJ18" s="167" t="s">
        <v>549</v>
      </c>
      <c r="DK18" s="167"/>
      <c r="DL18" s="167"/>
      <c r="DM18" s="168"/>
      <c r="DN18" s="168"/>
      <c r="DO18" s="168"/>
      <c r="DP18" s="168"/>
      <c r="DQ18" s="168"/>
      <c r="DR18" s="168"/>
      <c r="DS18" s="168"/>
      <c r="DT18" s="168"/>
      <c r="DU18" s="168" t="s">
        <v>795</v>
      </c>
      <c r="DV18" s="168"/>
      <c r="DW18" s="168"/>
      <c r="DX18" s="168"/>
      <c r="DY18" s="168"/>
      <c r="DZ18" s="168"/>
      <c r="EA18" s="168"/>
      <c r="EB18" s="168" t="s">
        <v>806</v>
      </c>
      <c r="EC18" s="168" t="s">
        <v>809</v>
      </c>
      <c r="ED18" s="168"/>
      <c r="EE18" s="168">
        <v>1200</v>
      </c>
      <c r="EF18" s="168">
        <v>600</v>
      </c>
      <c r="EG18" s="168"/>
      <c r="EH18" s="168"/>
      <c r="EI18" s="168" t="s">
        <v>811</v>
      </c>
      <c r="EJ18" s="168"/>
      <c r="EK18" s="168"/>
      <c r="EL18" s="168"/>
      <c r="EM18" s="168"/>
      <c r="EN18" s="168"/>
      <c r="EO18" s="355" t="s">
        <v>1039</v>
      </c>
      <c r="EP18" s="355" t="s">
        <v>186</v>
      </c>
      <c r="EQ18" s="355" t="s">
        <v>1052</v>
      </c>
      <c r="ER18" s="1342">
        <v>1600</v>
      </c>
      <c r="ES18" s="381"/>
      <c r="ET18" s="1523"/>
      <c r="EU18" s="1523"/>
    </row>
    <row r="19" spans="1:151" ht="14.25" customHeight="1">
      <c r="A19" s="7" t="s">
        <v>516</v>
      </c>
      <c r="B19" s="21" t="s">
        <v>512</v>
      </c>
      <c r="C19" s="22" t="s">
        <v>8</v>
      </c>
      <c r="D19" s="23" t="s">
        <v>28</v>
      </c>
      <c r="E19" s="21" t="s">
        <v>28</v>
      </c>
      <c r="F19" s="21">
        <v>26</v>
      </c>
      <c r="G19" s="6"/>
      <c r="H19" s="24"/>
      <c r="I19" s="25" t="s">
        <v>64</v>
      </c>
      <c r="J19" s="26" t="s">
        <v>451</v>
      </c>
      <c r="K19" s="26" t="s">
        <v>1121</v>
      </c>
      <c r="L19" s="26" t="s">
        <v>132</v>
      </c>
      <c r="M19" s="26" t="s">
        <v>133</v>
      </c>
      <c r="N19" s="26" t="s">
        <v>205</v>
      </c>
      <c r="O19" s="26" t="s">
        <v>288</v>
      </c>
      <c r="P19" s="26" t="s">
        <v>190</v>
      </c>
      <c r="Q19" s="26" t="s">
        <v>194</v>
      </c>
      <c r="R19" s="26" t="s">
        <v>202</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389</v>
      </c>
      <c r="BW19" s="170"/>
      <c r="BX19" s="170"/>
      <c r="BY19" s="170" t="s">
        <v>678</v>
      </c>
      <c r="BZ19" s="170"/>
      <c r="CA19" s="170"/>
      <c r="CB19" s="170"/>
      <c r="CC19" s="170"/>
      <c r="CD19" s="170"/>
      <c r="CE19" s="170"/>
      <c r="CF19" s="170"/>
      <c r="CG19" s="170"/>
      <c r="CH19" s="170"/>
      <c r="CI19" s="170" t="s">
        <v>662</v>
      </c>
      <c r="CJ19" s="170" t="s">
        <v>373</v>
      </c>
      <c r="CK19" s="170" t="s">
        <v>610</v>
      </c>
      <c r="CL19" s="170" t="s">
        <v>611</v>
      </c>
      <c r="CM19" s="170" t="s">
        <v>612</v>
      </c>
      <c r="CN19" s="170">
        <v>1262</v>
      </c>
      <c r="CO19" s="170">
        <v>700</v>
      </c>
      <c r="CP19" s="170">
        <v>1262</v>
      </c>
      <c r="CQ19" s="170" t="s">
        <v>985</v>
      </c>
      <c r="CR19" s="170"/>
      <c r="CS19" s="170"/>
      <c r="CT19" s="169"/>
      <c r="CU19" s="169"/>
      <c r="CV19" s="169" t="s">
        <v>400</v>
      </c>
      <c r="CW19" s="169" t="s">
        <v>434</v>
      </c>
      <c r="CX19" s="169" t="s">
        <v>445</v>
      </c>
      <c r="CY19" s="169" t="s">
        <v>572</v>
      </c>
      <c r="CZ19" s="169" t="s">
        <v>573</v>
      </c>
      <c r="DA19" s="169" t="s">
        <v>574</v>
      </c>
      <c r="DB19" s="160" t="s">
        <v>57</v>
      </c>
      <c r="DC19" s="356"/>
      <c r="DD19" s="169"/>
      <c r="DE19" s="362" t="s">
        <v>309</v>
      </c>
      <c r="DF19" s="362" t="s">
        <v>814</v>
      </c>
      <c r="DG19" s="534" t="s">
        <v>583</v>
      </c>
      <c r="DH19" s="170" t="s">
        <v>554</v>
      </c>
      <c r="DI19" s="170" t="s">
        <v>555</v>
      </c>
      <c r="DJ19" s="170" t="s">
        <v>556</v>
      </c>
      <c r="DK19" s="170"/>
      <c r="DL19" s="170"/>
      <c r="DM19" s="168"/>
      <c r="DN19" s="168"/>
      <c r="DO19" s="168"/>
      <c r="DP19" s="168"/>
      <c r="DQ19" s="168"/>
      <c r="DR19" s="168"/>
      <c r="DS19" s="168"/>
      <c r="DT19" s="168"/>
      <c r="DU19" s="168" t="s">
        <v>796</v>
      </c>
      <c r="DV19" s="168"/>
      <c r="DW19" s="168"/>
      <c r="DX19" s="168"/>
      <c r="DY19" s="168"/>
      <c r="DZ19" s="168"/>
      <c r="EA19" s="168"/>
      <c r="EB19" s="168"/>
      <c r="EC19" s="168"/>
      <c r="ED19" s="168"/>
      <c r="EE19" s="168"/>
      <c r="EF19" s="168"/>
      <c r="EG19" s="168"/>
      <c r="EH19" s="168"/>
      <c r="EI19" s="168"/>
      <c r="EJ19" s="168"/>
      <c r="EK19" s="168"/>
      <c r="EL19" s="168"/>
      <c r="EM19" s="168"/>
      <c r="EN19" s="168"/>
      <c r="EO19" s="1322" t="s">
        <v>1011</v>
      </c>
      <c r="EP19" s="1322" t="s">
        <v>1012</v>
      </c>
      <c r="EQ19" s="1322" t="s">
        <v>1013</v>
      </c>
      <c r="ER19" s="1343">
        <v>875</v>
      </c>
      <c r="ES19" s="1337"/>
      <c r="ET19" s="1523"/>
      <c r="EU19" s="1523"/>
    </row>
    <row r="20" spans="1:151"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619</v>
      </c>
      <c r="O20" s="26" t="s">
        <v>620</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984</v>
      </c>
      <c r="CR20" s="170" t="s">
        <v>457</v>
      </c>
      <c r="CS20" s="170"/>
      <c r="CT20" s="169"/>
      <c r="CU20" s="169"/>
      <c r="CV20" s="169"/>
      <c r="CW20" s="169" t="s">
        <v>435</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797</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518</v>
      </c>
      <c r="B21" s="21" t="s">
        <v>512</v>
      </c>
      <c r="C21" s="22" t="s">
        <v>8</v>
      </c>
      <c r="D21" s="23" t="s">
        <v>30</v>
      </c>
      <c r="E21" s="21" t="s">
        <v>30</v>
      </c>
      <c r="F21" s="21">
        <v>22</v>
      </c>
      <c r="G21" s="6"/>
      <c r="H21" s="28" t="s">
        <v>50</v>
      </c>
      <c r="I21" s="25" t="s">
        <v>936</v>
      </c>
      <c r="J21" s="26" t="s">
        <v>937</v>
      </c>
      <c r="K21" s="26" t="s">
        <v>938</v>
      </c>
      <c r="L21" s="26" t="s">
        <v>939</v>
      </c>
      <c r="M21" s="26" t="s">
        <v>940</v>
      </c>
      <c r="N21" s="26" t="s">
        <v>941</v>
      </c>
      <c r="O21" s="26" t="s">
        <v>942</v>
      </c>
      <c r="P21" s="26" t="s">
        <v>943</v>
      </c>
      <c r="Q21" s="26" t="s">
        <v>944</v>
      </c>
      <c r="R21" s="26" t="s">
        <v>945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948</v>
      </c>
      <c r="AT21" s="27"/>
      <c r="AU21" s="52" t="s">
        <v>946</v>
      </c>
      <c r="AV21" s="27"/>
      <c r="AW21" s="52" t="s">
        <v>947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949</v>
      </c>
      <c r="BW21" s="170" t="s">
        <v>392</v>
      </c>
      <c r="BX21" s="170" t="s">
        <v>393</v>
      </c>
      <c r="BY21" s="186" t="s">
        <v>980</v>
      </c>
      <c r="BZ21" s="186"/>
      <c r="CA21" s="170"/>
      <c r="CB21" s="170"/>
      <c r="CC21" s="170"/>
      <c r="CD21" s="170"/>
      <c r="CE21" s="170"/>
      <c r="CF21" s="170"/>
      <c r="CG21" s="170"/>
      <c r="CH21" s="170"/>
      <c r="CI21" s="170" t="s">
        <v>950</v>
      </c>
      <c r="CJ21" s="170" t="s">
        <v>951</v>
      </c>
      <c r="CK21" s="170" t="s">
        <v>952</v>
      </c>
      <c r="CL21" s="170" t="s">
        <v>953</v>
      </c>
      <c r="CM21" s="170" t="s">
        <v>954</v>
      </c>
      <c r="CN21" s="186" t="s">
        <v>408</v>
      </c>
      <c r="CO21" s="170">
        <v>450</v>
      </c>
      <c r="CP21" s="186" t="s">
        <v>408</v>
      </c>
      <c r="CQ21" s="186" t="s">
        <v>679</v>
      </c>
      <c r="CR21" s="186"/>
      <c r="CS21" s="170"/>
      <c r="CT21" s="169"/>
      <c r="CU21" s="169"/>
      <c r="CV21" s="169" t="s">
        <v>402</v>
      </c>
      <c r="CW21" s="169" t="s">
        <v>436</v>
      </c>
      <c r="CX21" s="169" t="s">
        <v>444</v>
      </c>
      <c r="CY21" s="169"/>
      <c r="CZ21" s="169"/>
      <c r="DA21" s="169"/>
      <c r="DB21" s="160" t="s">
        <v>948</v>
      </c>
      <c r="DC21" s="363" t="s">
        <v>206</v>
      </c>
      <c r="DD21" s="169"/>
      <c r="DE21" s="362" t="s">
        <v>955</v>
      </c>
      <c r="DF21" s="362" t="s">
        <v>979</v>
      </c>
      <c r="DG21" s="534"/>
      <c r="DH21" s="170" t="s">
        <v>557</v>
      </c>
      <c r="DI21" s="170" t="s">
        <v>558</v>
      </c>
      <c r="DJ21" s="170" t="s">
        <v>559</v>
      </c>
      <c r="DK21" s="170"/>
      <c r="DL21" s="170"/>
      <c r="DM21" s="168"/>
      <c r="DN21" s="168"/>
      <c r="DO21" s="168"/>
      <c r="DP21" s="168"/>
      <c r="DQ21" s="168"/>
      <c r="DR21" s="168"/>
      <c r="DS21" s="168"/>
      <c r="DT21" s="168"/>
      <c r="DU21" s="168" t="s">
        <v>798</v>
      </c>
      <c r="DV21" s="168"/>
      <c r="DW21" s="168"/>
      <c r="DX21" s="168"/>
      <c r="DY21" s="168"/>
      <c r="DZ21" s="168"/>
      <c r="EA21" s="168"/>
      <c r="EB21" s="168"/>
      <c r="EC21" s="168"/>
      <c r="ED21" s="168" t="s">
        <v>68</v>
      </c>
      <c r="EE21" s="228"/>
      <c r="EF21" s="168">
        <v>600</v>
      </c>
      <c r="EG21" s="168">
        <v>400</v>
      </c>
      <c r="EH21" s="168">
        <v>450</v>
      </c>
      <c r="EI21" s="168"/>
      <c r="EJ21" s="168" t="s">
        <v>812</v>
      </c>
      <c r="EK21" s="168"/>
      <c r="EL21" s="168"/>
      <c r="EM21" s="168"/>
      <c r="EN21" s="168"/>
      <c r="EO21" s="377" t="s">
        <v>1023</v>
      </c>
      <c r="EP21" s="377" t="s">
        <v>1024</v>
      </c>
      <c r="EQ21" s="377" t="s">
        <v>1025</v>
      </c>
      <c r="ER21" s="1344" t="s">
        <v>1006</v>
      </c>
      <c r="ES21" s="382"/>
      <c r="ET21" s="1523"/>
      <c r="EU21" s="1523"/>
    </row>
    <row r="22" spans="1:151" ht="14.25" customHeight="1">
      <c r="A22" s="7" t="s">
        <v>519</v>
      </c>
      <c r="B22" s="21" t="s">
        <v>512</v>
      </c>
      <c r="C22" s="22" t="s">
        <v>8</v>
      </c>
      <c r="D22" s="23" t="s">
        <v>30</v>
      </c>
      <c r="E22" s="21">
        <v>10</v>
      </c>
      <c r="F22" s="21">
        <v>22</v>
      </c>
      <c r="G22" s="6"/>
      <c r="H22" s="28" t="s">
        <v>50</v>
      </c>
      <c r="I22" s="26" t="s">
        <v>118</v>
      </c>
      <c r="J22" s="26" t="s">
        <v>118</v>
      </c>
      <c r="K22" s="26" t="s">
        <v>118</v>
      </c>
      <c r="L22" s="26" t="s">
        <v>118</v>
      </c>
      <c r="M22" s="26" t="s">
        <v>118</v>
      </c>
      <c r="N22" s="196" t="s">
        <v>621</v>
      </c>
      <c r="O22" s="26" t="s">
        <v>294</v>
      </c>
      <c r="P22" s="26" t="s">
        <v>207</v>
      </c>
      <c r="Q22" s="26" t="s">
        <v>208</v>
      </c>
      <c r="R22" s="26" t="s">
        <v>209</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207</v>
      </c>
      <c r="AT22" s="27"/>
      <c r="AU22" s="52" t="s">
        <v>208</v>
      </c>
      <c r="AV22" s="27"/>
      <c r="AW22" s="52" t="s">
        <v>209</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396</v>
      </c>
      <c r="BZ22" s="170"/>
      <c r="CA22" s="170"/>
      <c r="CB22" s="170"/>
      <c r="CC22" s="170"/>
      <c r="CD22" s="170"/>
      <c r="CE22" s="170"/>
      <c r="CF22" s="170"/>
      <c r="CG22" s="170"/>
      <c r="CH22" s="170"/>
      <c r="CI22" s="170"/>
      <c r="CJ22" s="170"/>
      <c r="CK22" s="170"/>
      <c r="CL22" s="170"/>
      <c r="CM22" s="170"/>
      <c r="CN22" s="170">
        <v>1292</v>
      </c>
      <c r="CO22" s="170">
        <v>2655</v>
      </c>
      <c r="CP22" s="170">
        <v>1292</v>
      </c>
      <c r="CQ22" s="170" t="s">
        <v>874</v>
      </c>
      <c r="CR22" s="170"/>
      <c r="CS22" s="170"/>
      <c r="CT22" s="169"/>
      <c r="CU22" s="169"/>
      <c r="CV22" s="169"/>
      <c r="CW22" s="169"/>
      <c r="CX22" s="169"/>
      <c r="CY22" s="169"/>
      <c r="CZ22" s="169"/>
      <c r="DA22" s="169"/>
      <c r="DB22" s="160" t="s">
        <v>207</v>
      </c>
      <c r="DC22" s="356"/>
      <c r="DD22" s="169"/>
      <c r="DE22" s="362" t="s">
        <v>310</v>
      </c>
      <c r="DF22" s="362" t="s">
        <v>310</v>
      </c>
      <c r="DG22" s="534"/>
      <c r="DH22" s="170"/>
      <c r="DI22" s="170"/>
      <c r="DJ22" s="170"/>
      <c r="DK22" s="170"/>
      <c r="DL22" s="170"/>
      <c r="DM22" s="168"/>
      <c r="DN22" s="168"/>
      <c r="DO22" s="168"/>
      <c r="DP22" s="168"/>
      <c r="DQ22" s="168"/>
      <c r="DR22" s="168"/>
      <c r="DS22" s="168"/>
      <c r="DT22" s="168"/>
      <c r="DU22" s="168" t="s">
        <v>798</v>
      </c>
      <c r="DV22" s="168"/>
      <c r="DW22" s="168"/>
      <c r="DX22" s="168"/>
      <c r="DY22" s="168"/>
      <c r="DZ22" s="168"/>
      <c r="EA22" s="168"/>
      <c r="EB22" s="168"/>
      <c r="EC22" s="168"/>
      <c r="ED22" s="168"/>
      <c r="EE22" s="168"/>
      <c r="EF22" s="168"/>
      <c r="EG22" s="168"/>
      <c r="EH22" s="168"/>
      <c r="EI22" s="168"/>
      <c r="EJ22" s="794" t="s">
        <v>881</v>
      </c>
      <c r="EK22" s="168"/>
      <c r="EL22" s="168"/>
      <c r="EM22" s="168"/>
      <c r="EN22" s="168"/>
      <c r="EO22" s="160" t="s">
        <v>1014</v>
      </c>
      <c r="EP22" s="160" t="s">
        <v>1015</v>
      </c>
      <c r="EQ22" s="160" t="s">
        <v>1016</v>
      </c>
      <c r="ER22" s="1343">
        <v>2400</v>
      </c>
      <c r="ES22" s="382"/>
      <c r="ET22" s="1523"/>
      <c r="EU22" s="1523"/>
    </row>
    <row r="23" spans="1:151"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512</v>
      </c>
      <c r="C25" s="22" t="s">
        <v>8</v>
      </c>
      <c r="D25" s="23">
        <v>30</v>
      </c>
      <c r="E25" s="21">
        <v>30</v>
      </c>
      <c r="F25" s="21">
        <v>23</v>
      </c>
      <c r="G25" s="6"/>
      <c r="H25" s="24"/>
      <c r="I25" s="25" t="s">
        <v>76</v>
      </c>
      <c r="J25" s="26" t="s">
        <v>201</v>
      </c>
      <c r="K25" s="26" t="s">
        <v>303</v>
      </c>
      <c r="L25" s="26" t="s">
        <v>78</v>
      </c>
      <c r="M25" s="26" t="s">
        <v>80</v>
      </c>
      <c r="N25" s="26" t="s">
        <v>697</v>
      </c>
      <c r="O25" s="26" t="s">
        <v>290</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391</v>
      </c>
      <c r="BW25" s="170" t="s">
        <v>598</v>
      </c>
      <c r="BX25" s="170" t="s">
        <v>454</v>
      </c>
      <c r="BY25" s="170" t="s">
        <v>690</v>
      </c>
      <c r="BZ25" s="170"/>
      <c r="CA25" s="170"/>
      <c r="CB25" s="170"/>
      <c r="CC25" s="170"/>
      <c r="CD25" s="170"/>
      <c r="CE25" s="170"/>
      <c r="CF25" s="170"/>
      <c r="CG25" s="170"/>
      <c r="CH25" s="170"/>
      <c r="CI25" s="170" t="s">
        <v>664</v>
      </c>
      <c r="CJ25" s="170" t="s">
        <v>376</v>
      </c>
      <c r="CK25" s="170" t="s">
        <v>613</v>
      </c>
      <c r="CL25" s="170" t="s">
        <v>614</v>
      </c>
      <c r="CM25" s="170" t="s">
        <v>615</v>
      </c>
      <c r="CN25" s="170">
        <v>1262</v>
      </c>
      <c r="CO25" s="170">
        <v>600</v>
      </c>
      <c r="CP25" s="170">
        <v>1262</v>
      </c>
      <c r="CQ25" s="170" t="s">
        <v>691</v>
      </c>
      <c r="CR25" s="170"/>
      <c r="CS25" s="170"/>
      <c r="CT25" s="169"/>
      <c r="CU25" s="169"/>
      <c r="CV25" s="169" t="s">
        <v>403</v>
      </c>
      <c r="CW25" s="169" t="s">
        <v>437</v>
      </c>
      <c r="CX25" s="169" t="s">
        <v>443</v>
      </c>
      <c r="CY25" s="169" t="s">
        <v>575</v>
      </c>
      <c r="CZ25" s="169" t="s">
        <v>576</v>
      </c>
      <c r="DA25" s="169" t="s">
        <v>577</v>
      </c>
      <c r="DB25" s="160" t="s">
        <v>77</v>
      </c>
      <c r="DC25" s="356"/>
      <c r="DD25" s="169"/>
      <c r="DE25" s="364" t="s">
        <v>311</v>
      </c>
      <c r="DF25" s="350" t="s">
        <v>698</v>
      </c>
      <c r="DG25" s="534" t="s">
        <v>584</v>
      </c>
      <c r="DH25" s="170" t="s">
        <v>560</v>
      </c>
      <c r="DI25" s="170" t="s">
        <v>561</v>
      </c>
      <c r="DJ25" s="170" t="s">
        <v>562</v>
      </c>
      <c r="DK25" s="170"/>
      <c r="DL25" s="170"/>
      <c r="DM25" s="170" t="s">
        <v>729</v>
      </c>
      <c r="DN25" s="170" t="s">
        <v>730</v>
      </c>
      <c r="DO25" s="170" t="s">
        <v>731</v>
      </c>
      <c r="DP25" s="170"/>
      <c r="DQ25" s="170" t="s">
        <v>732</v>
      </c>
      <c r="DR25" s="170" t="s">
        <v>733</v>
      </c>
      <c r="DS25" s="170"/>
      <c r="DT25" s="170" t="s">
        <v>734</v>
      </c>
      <c r="DU25" s="170" t="s">
        <v>735</v>
      </c>
      <c r="DV25" s="170" t="s">
        <v>736</v>
      </c>
      <c r="DW25" s="170" t="s">
        <v>737</v>
      </c>
      <c r="DX25" s="170" t="s">
        <v>738</v>
      </c>
      <c r="DY25" s="170" t="s">
        <v>739</v>
      </c>
      <c r="DZ25" s="170" t="s">
        <v>740</v>
      </c>
      <c r="EA25" s="170" t="s">
        <v>741</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512</v>
      </c>
      <c r="C28" s="22" t="s">
        <v>8</v>
      </c>
      <c r="D28" s="23" t="s">
        <v>31</v>
      </c>
      <c r="E28" s="21" t="s">
        <v>31</v>
      </c>
      <c r="F28" s="21">
        <v>24</v>
      </c>
      <c r="G28" s="6"/>
      <c r="H28" s="30" t="s">
        <v>51</v>
      </c>
      <c r="I28" s="25" t="s">
        <v>957</v>
      </c>
      <c r="J28" s="26" t="s">
        <v>958</v>
      </c>
      <c r="K28" s="26" t="s">
        <v>959</v>
      </c>
      <c r="L28" s="26" t="s">
        <v>960</v>
      </c>
      <c r="M28" s="26" t="s">
        <v>961</v>
      </c>
      <c r="N28" s="26" t="s">
        <v>973</v>
      </c>
      <c r="O28" s="26" t="s">
        <v>962</v>
      </c>
      <c r="P28" s="26" t="s">
        <v>963</v>
      </c>
      <c r="Q28" s="26" t="s">
        <v>964</v>
      </c>
      <c r="R28" s="26" t="s">
        <v>965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974</v>
      </c>
      <c r="AT28" s="27"/>
      <c r="AU28" s="52" t="s">
        <v>975</v>
      </c>
      <c r="AV28" s="27"/>
      <c r="AW28" s="52" t="s">
        <v>976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966</v>
      </c>
      <c r="BW28" s="170" t="s">
        <v>956</v>
      </c>
      <c r="BX28" s="170" t="s">
        <v>967</v>
      </c>
      <c r="BY28" s="186" t="s">
        <v>978</v>
      </c>
      <c r="BZ28" s="186"/>
      <c r="CA28" s="170" t="s">
        <v>364</v>
      </c>
      <c r="CB28" s="170" t="s">
        <v>365</v>
      </c>
      <c r="CC28" s="170" t="s">
        <v>366</v>
      </c>
      <c r="CD28" s="170" t="s">
        <v>367</v>
      </c>
      <c r="CE28" s="170"/>
      <c r="CF28" s="170"/>
      <c r="CG28" s="170"/>
      <c r="CH28" s="170"/>
      <c r="CI28" s="170" t="s">
        <v>968</v>
      </c>
      <c r="CJ28" s="170" t="s">
        <v>969</v>
      </c>
      <c r="CK28" s="170" t="s">
        <v>616</v>
      </c>
      <c r="CL28" s="170" t="s">
        <v>617</v>
      </c>
      <c r="CM28" s="170" t="s">
        <v>618</v>
      </c>
      <c r="CN28" s="186" t="s">
        <v>407</v>
      </c>
      <c r="CO28" s="170">
        <v>850</v>
      </c>
      <c r="CP28" s="186" t="s">
        <v>407</v>
      </c>
      <c r="CQ28" s="170" t="s">
        <v>695</v>
      </c>
      <c r="CR28" s="170"/>
      <c r="CS28" s="170"/>
      <c r="CT28" s="169"/>
      <c r="CU28" s="169"/>
      <c r="CV28" s="169" t="s">
        <v>580</v>
      </c>
      <c r="CW28" s="169" t="s">
        <v>970</v>
      </c>
      <c r="CX28" s="169" t="s">
        <v>446</v>
      </c>
      <c r="CY28" s="169"/>
      <c r="CZ28" s="169"/>
      <c r="DA28" s="169"/>
      <c r="DB28" s="160" t="s">
        <v>974</v>
      </c>
      <c r="DC28" s="356"/>
      <c r="DD28" s="169"/>
      <c r="DE28" s="364" t="s">
        <v>971</v>
      </c>
      <c r="DF28" s="350" t="s">
        <v>977</v>
      </c>
      <c r="DG28" s="169"/>
      <c r="DH28" s="170" t="s">
        <v>563</v>
      </c>
      <c r="DI28" s="170" t="s">
        <v>564</v>
      </c>
      <c r="DJ28" s="170" t="s">
        <v>565</v>
      </c>
      <c r="DK28" s="170"/>
      <c r="DL28" s="170"/>
      <c r="DM28" s="658" t="s">
        <v>772</v>
      </c>
      <c r="DN28" s="170"/>
      <c r="DO28" s="170"/>
      <c r="DP28" s="170"/>
      <c r="DQ28" s="170"/>
      <c r="DR28" s="170"/>
      <c r="DS28" s="170"/>
      <c r="DT28" s="170"/>
      <c r="DU28" s="170" t="s">
        <v>771</v>
      </c>
      <c r="DV28" s="170"/>
      <c r="DW28" s="170"/>
      <c r="DX28" s="170"/>
      <c r="DY28" s="170"/>
      <c r="DZ28" s="170"/>
      <c r="EA28" s="170"/>
      <c r="EB28" s="170"/>
      <c r="EC28" s="170"/>
      <c r="ED28" s="170" t="s">
        <v>972</v>
      </c>
      <c r="EE28" s="170"/>
      <c r="EF28" s="170"/>
      <c r="EG28" s="170"/>
      <c r="EH28" s="170"/>
      <c r="EI28" s="170"/>
      <c r="EJ28" s="170"/>
      <c r="EK28" s="170"/>
      <c r="EL28" s="170"/>
      <c r="EM28" s="170"/>
      <c r="EN28" s="170"/>
      <c r="EO28" s="1324" t="s">
        <v>1002</v>
      </c>
      <c r="EP28" s="1324" t="s">
        <v>1003</v>
      </c>
      <c r="EQ28" s="1324" t="s">
        <v>1004</v>
      </c>
      <c r="ER28" s="1344" t="s">
        <v>1005</v>
      </c>
      <c r="ES28" s="1340"/>
      <c r="ET28" s="1523"/>
      <c r="EU28" s="1523"/>
    </row>
    <row r="29" spans="1:151"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694</v>
      </c>
      <c r="O29" s="26" t="s">
        <v>295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322</v>
      </c>
      <c r="BX29" s="170" t="s">
        <v>323</v>
      </c>
      <c r="BY29" s="186" t="s">
        <v>802</v>
      </c>
      <c r="BZ29" s="170"/>
      <c r="CA29" s="170"/>
      <c r="CB29" s="170"/>
      <c r="CC29" s="170"/>
      <c r="CD29" s="170"/>
      <c r="CE29" s="170"/>
      <c r="CF29" s="170"/>
      <c r="CG29" s="170"/>
      <c r="CH29" s="170"/>
      <c r="CI29" s="170"/>
      <c r="CJ29" s="170"/>
      <c r="CK29" s="170"/>
      <c r="CL29" s="170"/>
      <c r="CM29" s="170"/>
      <c r="CN29" s="170">
        <v>1292</v>
      </c>
      <c r="CO29" s="170">
        <v>850</v>
      </c>
      <c r="CP29" s="170">
        <v>1292</v>
      </c>
      <c r="CQ29" s="170" t="s">
        <v>803</v>
      </c>
      <c r="CR29" s="170"/>
      <c r="CS29" s="170"/>
      <c r="CT29" s="169"/>
      <c r="CU29" s="169"/>
      <c r="CV29" s="169"/>
      <c r="CW29" s="169"/>
      <c r="CX29" s="169"/>
      <c r="CY29" s="169"/>
      <c r="CZ29" s="169"/>
      <c r="DA29" s="169"/>
      <c r="DB29" s="160" t="s">
        <v>34</v>
      </c>
      <c r="DC29" s="356"/>
      <c r="DD29" s="169"/>
      <c r="DE29" s="364" t="s">
        <v>312</v>
      </c>
      <c r="DF29" s="350"/>
      <c r="DG29" s="169"/>
      <c r="DH29" s="170"/>
      <c r="DI29" s="170"/>
      <c r="DJ29" s="170"/>
      <c r="DK29" s="170"/>
      <c r="DL29" s="170"/>
      <c r="DM29" s="170"/>
      <c r="DN29" s="170"/>
      <c r="DO29" s="170"/>
      <c r="DP29" s="170"/>
      <c r="DQ29" s="170"/>
      <c r="DR29" s="170"/>
      <c r="DS29" s="170"/>
      <c r="DT29" s="170"/>
      <c r="DU29" s="170" t="s">
        <v>771</v>
      </c>
      <c r="DV29" s="170"/>
      <c r="DW29" s="170"/>
      <c r="DX29" s="170"/>
      <c r="DY29" s="170"/>
      <c r="DZ29" s="170"/>
      <c r="EA29" s="170"/>
      <c r="EB29" s="170"/>
      <c r="EC29" s="170"/>
      <c r="ED29" s="170"/>
      <c r="EE29" s="170"/>
      <c r="EF29" s="170"/>
      <c r="EG29" s="170"/>
      <c r="EH29" s="170"/>
      <c r="EI29" s="170"/>
      <c r="EJ29" s="170"/>
      <c r="EK29" s="170"/>
      <c r="EL29" s="170"/>
      <c r="EM29" s="170"/>
      <c r="EN29" s="170"/>
      <c r="EO29" s="1322" t="s">
        <v>1026</v>
      </c>
      <c r="EP29" s="1322" t="s">
        <v>1027</v>
      </c>
      <c r="EQ29" s="1322" t="s">
        <v>1028</v>
      </c>
      <c r="ER29" s="1343">
        <v>3500</v>
      </c>
      <c r="ES29" s="1337"/>
      <c r="ET29" s="1523"/>
      <c r="EU29" s="1523"/>
    </row>
    <row r="30" spans="1:151"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m2WsT4QcoDQO7XhXQrOyGI3lXr03K6miKlXg0b6F251WQZKc4H1s3GWE56zCZUnBelRLOqtar/4FaTVaQFpl9Q==" saltValue="qbsk9pGh2bKPbt6pfMw2L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ANDALUCIA</v>
      </c>
      <c r="F1" s="582"/>
    </row>
    <row r="2" spans="1:72" ht="16.5" customHeight="1">
      <c r="C2" s="571" t="str">
        <f>Criterios!A10 &amp;"  "&amp;Criterios!B10 &amp; "  " &amp; IF(NOT(ISBLANK(Criterios!A11)),Criterios!A11 &amp;"  "&amp;Criterios!B11,"")</f>
        <v>Provincias  MALAGA  Resumenes por Partidos Judiciales  MELILLA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39" t="s">
        <v>458</v>
      </c>
      <c r="B5" s="297"/>
      <c r="C5" s="1880" t="str">
        <f>"Año:  " &amp;Criterios!B$5 &amp; "          Trimestre   " &amp;Criterios!D$5 &amp; " al " &amp;Criterios!D$6</f>
        <v>Año:  2021          Trimestre   3 al 3</v>
      </c>
      <c r="D5" s="1844" t="s">
        <v>484</v>
      </c>
      <c r="E5" s="1844" t="s">
        <v>742</v>
      </c>
      <c r="F5" s="1882" t="s">
        <v>520</v>
      </c>
      <c r="G5" s="1844" t="s">
        <v>168</v>
      </c>
      <c r="H5" s="1844" t="s">
        <v>775</v>
      </c>
      <c r="I5" s="1844" t="s">
        <v>743</v>
      </c>
      <c r="J5" s="1844" t="s">
        <v>860</v>
      </c>
      <c r="K5" s="1844" t="s">
        <v>861</v>
      </c>
      <c r="L5" s="1844" t="s">
        <v>744</v>
      </c>
      <c r="M5" s="1844" t="s">
        <v>699</v>
      </c>
      <c r="N5" s="1844" t="s">
        <v>862</v>
      </c>
      <c r="O5" s="1874" t="s">
        <v>773</v>
      </c>
      <c r="P5" s="1844" t="s">
        <v>882</v>
      </c>
      <c r="Q5" s="1844" t="s">
        <v>876</v>
      </c>
      <c r="R5" s="1844" t="s">
        <v>224</v>
      </c>
      <c r="S5" s="1877" t="s">
        <v>872</v>
      </c>
      <c r="T5" s="1877" t="s">
        <v>875</v>
      </c>
      <c r="U5" s="1844" t="s">
        <v>776</v>
      </c>
      <c r="V5" s="1877" t="s">
        <v>745</v>
      </c>
      <c r="W5" s="1844" t="s">
        <v>1035</v>
      </c>
      <c r="X5" s="1844" t="s">
        <v>1036</v>
      </c>
      <c r="Y5" s="1856" t="s">
        <v>863</v>
      </c>
      <c r="Z5" s="1847" t="s">
        <v>801</v>
      </c>
      <c r="AA5" s="1850" t="s">
        <v>746</v>
      </c>
      <c r="AB5" s="1847" t="s">
        <v>747</v>
      </c>
      <c r="AC5" s="1847" t="s">
        <v>748</v>
      </c>
      <c r="AD5" s="1853" t="s">
        <v>864</v>
      </c>
      <c r="AE5" s="1853" t="s">
        <v>1063</v>
      </c>
      <c r="AF5" s="1844" t="s">
        <v>877</v>
      </c>
      <c r="AG5" s="1844" t="s">
        <v>700</v>
      </c>
      <c r="AH5" s="1844" t="s">
        <v>865</v>
      </c>
      <c r="AI5" s="1844" t="s">
        <v>235</v>
      </c>
      <c r="AJ5" s="1844" t="s">
        <v>932</v>
      </c>
      <c r="AK5" s="1844" t="s">
        <v>701</v>
      </c>
      <c r="AL5" s="1844" t="s">
        <v>702</v>
      </c>
      <c r="AM5" s="1844" t="s">
        <v>883</v>
      </c>
      <c r="AN5" s="1844" t="s">
        <v>703</v>
      </c>
      <c r="AO5" s="1844" t="s">
        <v>704</v>
      </c>
      <c r="AP5" s="1844" t="s">
        <v>705</v>
      </c>
      <c r="AQ5" s="1844" t="s">
        <v>706</v>
      </c>
      <c r="AR5" s="1844" t="s">
        <v>866</v>
      </c>
      <c r="AS5" s="1844" t="s">
        <v>238</v>
      </c>
      <c r="AT5" s="1859" t="s">
        <v>236</v>
      </c>
      <c r="AU5" s="1844" t="s">
        <v>878</v>
      </c>
      <c r="AV5" s="1862" t="s">
        <v>879</v>
      </c>
      <c r="AW5" s="1865" t="s">
        <v>708</v>
      </c>
      <c r="AX5" s="1844" t="s">
        <v>709</v>
      </c>
      <c r="AY5" s="1844" t="s">
        <v>799</v>
      </c>
      <c r="AZ5" s="1868" t="s">
        <v>800</v>
      </c>
      <c r="BA5" s="1844" t="s">
        <v>750</v>
      </c>
      <c r="BB5" s="1862" t="s">
        <v>751</v>
      </c>
      <c r="BC5" s="1865" t="s">
        <v>239</v>
      </c>
      <c r="BD5" s="1844" t="s">
        <v>752</v>
      </c>
      <c r="BE5" s="1844" t="s">
        <v>315</v>
      </c>
      <c r="BF5" s="1844" t="s">
        <v>316</v>
      </c>
      <c r="BG5" s="1844" t="s">
        <v>317</v>
      </c>
      <c r="BH5" s="1844" t="s">
        <v>753</v>
      </c>
      <c r="BI5" s="1844" t="s">
        <v>318</v>
      </c>
      <c r="BJ5" s="1844" t="s">
        <v>754</v>
      </c>
      <c r="BK5" s="1844" t="s">
        <v>769</v>
      </c>
      <c r="BL5" s="1844" t="s">
        <v>755</v>
      </c>
      <c r="BM5" s="1844" t="s">
        <v>756</v>
      </c>
      <c r="BN5" s="1844" t="s">
        <v>784</v>
      </c>
      <c r="BO5" s="1844" t="s">
        <v>777</v>
      </c>
      <c r="BP5" s="1844" t="s">
        <v>429</v>
      </c>
      <c r="BQ5" s="1844" t="s">
        <v>778</v>
      </c>
      <c r="BR5" s="1844" t="s">
        <v>757</v>
      </c>
      <c r="BS5" s="1844" t="s">
        <v>707</v>
      </c>
      <c r="BT5" s="1871" t="s">
        <v>1037</v>
      </c>
    </row>
    <row r="6" spans="1:72" ht="21.75" customHeight="1">
      <c r="A6" s="1640"/>
      <c r="B6" s="298"/>
      <c r="C6" s="1881"/>
      <c r="D6" s="1845"/>
      <c r="E6" s="1845"/>
      <c r="F6" s="1883"/>
      <c r="G6" s="1845"/>
      <c r="H6" s="1845"/>
      <c r="I6" s="1845"/>
      <c r="J6" s="1845"/>
      <c r="K6" s="1845"/>
      <c r="L6" s="1845"/>
      <c r="M6" s="1845"/>
      <c r="N6" s="1845"/>
      <c r="O6" s="1875"/>
      <c r="P6" s="1845"/>
      <c r="Q6" s="1845"/>
      <c r="R6" s="1845"/>
      <c r="S6" s="1878"/>
      <c r="T6" s="1878"/>
      <c r="U6" s="1845"/>
      <c r="V6" s="1878"/>
      <c r="W6" s="1845"/>
      <c r="X6" s="1845"/>
      <c r="Y6" s="1857"/>
      <c r="Z6" s="1848"/>
      <c r="AA6" s="1851"/>
      <c r="AB6" s="1848"/>
      <c r="AC6" s="1848"/>
      <c r="AD6" s="1854"/>
      <c r="AE6" s="1854"/>
      <c r="AF6" s="1845"/>
      <c r="AG6" s="1845"/>
      <c r="AH6" s="1845"/>
      <c r="AI6" s="1845"/>
      <c r="AJ6" s="1845"/>
      <c r="AK6" s="1845"/>
      <c r="AL6" s="1845"/>
      <c r="AM6" s="1845"/>
      <c r="AN6" s="1845"/>
      <c r="AO6" s="1845"/>
      <c r="AP6" s="1845"/>
      <c r="AQ6" s="1845"/>
      <c r="AR6" s="1845"/>
      <c r="AS6" s="1845"/>
      <c r="AT6" s="1860"/>
      <c r="AU6" s="1845"/>
      <c r="AV6" s="1863"/>
      <c r="AW6" s="1866"/>
      <c r="AX6" s="1845"/>
      <c r="AY6" s="1845"/>
      <c r="AZ6" s="1869"/>
      <c r="BA6" s="1845"/>
      <c r="BB6" s="1863"/>
      <c r="BC6" s="1866"/>
      <c r="BD6" s="1845"/>
      <c r="BE6" s="1845"/>
      <c r="BF6" s="1845"/>
      <c r="BG6" s="1845"/>
      <c r="BH6" s="1845"/>
      <c r="BI6" s="1845"/>
      <c r="BJ6" s="1845"/>
      <c r="BK6" s="1845"/>
      <c r="BL6" s="1845"/>
      <c r="BM6" s="1845"/>
      <c r="BN6" s="1845"/>
      <c r="BO6" s="1845"/>
      <c r="BP6" s="1845"/>
      <c r="BQ6" s="1845"/>
      <c r="BR6" s="1845"/>
      <c r="BS6" s="1845"/>
      <c r="BT6" s="1872"/>
    </row>
    <row r="7" spans="1:72" ht="38.25" customHeight="1" thickBot="1">
      <c r="A7" s="1641"/>
      <c r="B7" s="299"/>
      <c r="C7" s="288" t="str">
        <f>Datos!A7</f>
        <v>COMPETENCIAS</v>
      </c>
      <c r="D7" s="1846"/>
      <c r="E7" s="1846"/>
      <c r="F7" s="1884"/>
      <c r="G7" s="1846"/>
      <c r="H7" s="1846"/>
      <c r="I7" s="1846"/>
      <c r="J7" s="1846"/>
      <c r="K7" s="1846"/>
      <c r="L7" s="1846"/>
      <c r="M7" s="1846"/>
      <c r="N7" s="1846"/>
      <c r="O7" s="1876"/>
      <c r="P7" s="1846"/>
      <c r="Q7" s="1846"/>
      <c r="R7" s="1846"/>
      <c r="S7" s="1879"/>
      <c r="T7" s="1879"/>
      <c r="U7" s="1846"/>
      <c r="V7" s="1879"/>
      <c r="W7" s="1846"/>
      <c r="X7" s="1846"/>
      <c r="Y7" s="1858"/>
      <c r="Z7" s="1849"/>
      <c r="AA7" s="1852"/>
      <c r="AB7" s="1849"/>
      <c r="AC7" s="1849"/>
      <c r="AD7" s="1855"/>
      <c r="AE7" s="1855"/>
      <c r="AF7" s="1846"/>
      <c r="AG7" s="1846"/>
      <c r="AH7" s="1846"/>
      <c r="AI7" s="1846"/>
      <c r="AJ7" s="1846"/>
      <c r="AK7" s="1846"/>
      <c r="AL7" s="1846"/>
      <c r="AM7" s="1846"/>
      <c r="AN7" s="1846"/>
      <c r="AO7" s="1846"/>
      <c r="AP7" s="1846"/>
      <c r="AQ7" s="1846"/>
      <c r="AR7" s="1846"/>
      <c r="AS7" s="1846"/>
      <c r="AT7" s="1861"/>
      <c r="AU7" s="1846"/>
      <c r="AV7" s="1864"/>
      <c r="AW7" s="1867"/>
      <c r="AX7" s="1846"/>
      <c r="AY7" s="1846"/>
      <c r="AZ7" s="1870"/>
      <c r="BA7" s="1846"/>
      <c r="BB7" s="1864"/>
      <c r="BC7" s="1867"/>
      <c r="BD7" s="1846"/>
      <c r="BE7" s="1846"/>
      <c r="BF7" s="1846"/>
      <c r="BG7" s="1846"/>
      <c r="BH7" s="1846"/>
      <c r="BI7" s="1846"/>
      <c r="BJ7" s="1846"/>
      <c r="BK7" s="1846"/>
      <c r="BL7" s="1846"/>
      <c r="BM7" s="1846"/>
      <c r="BN7" s="1846"/>
      <c r="BO7" s="1846"/>
      <c r="BP7" s="1846"/>
      <c r="BQ7" s="1846"/>
      <c r="BR7" s="1846"/>
      <c r="BS7" s="1846"/>
      <c r="BT7" s="1873"/>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218.18181818181819</v>
      </c>
    </row>
    <row r="10" spans="1:72" s="582" customFormat="1" ht="14.25">
      <c r="A10" s="749">
        <f>Datos!AO10</f>
        <v>1</v>
      </c>
      <c r="B10" s="750" t="s">
        <v>314</v>
      </c>
      <c r="C10" s="751" t="str">
        <f>Datos!A10</f>
        <v>Jdos. Violencia contra la mujer</v>
      </c>
      <c r="D10" s="605"/>
      <c r="E10" s="553">
        <f>IF(ISNUMBER(Datos!AQ10),Datos!AQ10," - ")</f>
        <v>0</v>
      </c>
      <c r="F10" s="556">
        <f>IF(ISNUMBER(Datos!L10+Datos!K10-Datos!J10),Datos!L10+Datos!K10-Datos!J10," - ")</f>
        <v>41</v>
      </c>
      <c r="G10" s="547">
        <f>IF(ISNUMBER(Datos!I10),Datos!I10," - ")</f>
        <v>41</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14</v>
      </c>
      <c r="AC10" s="551">
        <f>IF(ISNUMBER(Datos!Q10),Datos!Q10," - ")</f>
        <v>0</v>
      </c>
      <c r="AD10" s="553"/>
      <c r="AE10" s="567"/>
      <c r="AF10" s="555">
        <f>IF(ISNUMBER(Datos!L10),Datos!L10,"-")</f>
        <v>36</v>
      </c>
      <c r="AG10" s="553"/>
      <c r="AH10" s="553"/>
      <c r="AI10" s="553"/>
      <c r="AJ10" s="553"/>
      <c r="AK10" s="553"/>
      <c r="AL10" s="554"/>
      <c r="AM10" s="771">
        <f>IF(ISNUMBER(Datos!R10),Datos!R10," - ")</f>
        <v>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6</v>
      </c>
      <c r="BD10" s="697">
        <f>IF(ISNUMBER(Datos!N10),Datos!N10," - ")</f>
        <v>4</v>
      </c>
      <c r="BE10" s="697" t="str">
        <f>IF(ISNUMBER(Datos!BW10),Datos!BW10," - ")</f>
        <v xml:space="preserve"> - </v>
      </c>
      <c r="BF10" s="767" t="str">
        <f>IF(ISNUMBER(Datos!BX10),Datos!BX10," - ")</f>
        <v xml:space="preserve"> - </v>
      </c>
      <c r="BG10" s="768">
        <f>IF(ISNUMBER(Datos!K10/Datos!J10),Datos!K10/Datos!J10," - ")</f>
        <v>1.5555555555555556</v>
      </c>
      <c r="BH10" s="769">
        <f>IF(ISNUMBER(((Datos!L10/Datos!K10)*11)/factor_trimestre),((Datos!L10/Datos!K10)*11)/factor_trimestre," - ")</f>
        <v>5.1428571428571432</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t="str">
        <f>IF(ISNUMBER((Datos!P10-Datos!Q10+Datos!DE10)/(Datos!R10-Datos!P10+Datos!Q10-Datos!DE10)),(Datos!P10-Datos!Q10+Datos!DE10)/(Datos!R10-Datos!P10+Datos!Q10-Datos!DE10)," - ")</f>
        <v xml:space="preserve"> - </v>
      </c>
      <c r="BN10" s="758"/>
      <c r="BO10" s="758"/>
      <c r="BP10" s="721" t="str">
        <f>IF(ISNUMBER(Datos!CW10),Datos!CW10," - ")</f>
        <v xml:space="preserve"> - </v>
      </c>
      <c r="BQ10" s="721"/>
      <c r="BR10" s="721">
        <f>Datos!CX10</f>
        <v>0</v>
      </c>
      <c r="BS10" s="561">
        <f>Datos!DU10</f>
        <v>0</v>
      </c>
      <c r="BT10" s="1476">
        <f>Datos!ER10/factor_trimestre</f>
        <v>290.90909090909093</v>
      </c>
    </row>
    <row r="11" spans="1:72" s="582" customFormat="1" ht="14.25">
      <c r="A11" s="749">
        <f>Datos!AO11</f>
        <v>0</v>
      </c>
      <c r="B11" s="750" t="s">
        <v>314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240.54545454545453</v>
      </c>
    </row>
    <row r="12" spans="1:72" s="582" customFormat="1" ht="14.25">
      <c r="A12" s="749">
        <f>Datos!AO12</f>
        <v>5</v>
      </c>
      <c r="B12" s="750" t="s">
        <v>314</v>
      </c>
      <c r="C12" s="751" t="str">
        <f>Datos!A12</f>
        <v xml:space="preserve">Jdos. 1ª Instª. e Instr.                        </v>
      </c>
      <c r="D12" s="605"/>
      <c r="E12" s="553">
        <f>IF(ISNUMBER(Datos!AQ12),Datos!AQ12," - ")</f>
        <v>5</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57</v>
      </c>
      <c r="O12" s="553"/>
      <c r="P12" s="553"/>
      <c r="Q12" s="551">
        <f>IF(ISNUMBER(Datos!P12),Datos!P12,0)</f>
        <v>167</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306</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122</v>
      </c>
      <c r="AI12" s="553" t="str">
        <f>IF(ISNUMBER(Datos!CD12),Datos!CD12,"-")</f>
        <v>-</v>
      </c>
      <c r="AJ12" s="553" t="str">
        <f>IF(ISNUMBER(Datos!EN12),Datos!EN12," - ")</f>
        <v xml:space="preserve"> - </v>
      </c>
      <c r="AK12" s="553"/>
      <c r="AL12" s="554"/>
      <c r="AM12" s="771">
        <f>IF(ISNUMBER(Datos!R12),Datos!R12," - ")</f>
        <v>3351</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87</v>
      </c>
      <c r="BD12" s="697">
        <f>IF(ISNUMBER(Datos!N12),Datos!N12," - ")</f>
        <v>168</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0.90509915014164311</v>
      </c>
      <c r="BH12" s="769">
        <f>IF(ISNUMBER(((IF(J_V="SI",Datos!L12/Datos!K12,(Datos!L12+Datos!AB12)/(Datos!K12+Datos!AA12)))*11)/factor_trimestre),((IF(J_V="SI",Datos!L12/Datos!K12,(Datos!L12+Datos!AB12)/(Datos!K12+Datos!AA12)))*11)/factor_trimestre," - ")</f>
        <v>5.511737089201878</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-3.9828080229226362E-2</v>
      </c>
      <c r="BN12" s="758"/>
      <c r="BO12" s="758"/>
      <c r="BP12" s="721" t="str">
        <f>IF(ISNUMBER(Datos!CW12),Datos!CW12," - ")</f>
        <v xml:space="preserve"> - </v>
      </c>
      <c r="BQ12" s="721"/>
      <c r="BR12" s="721">
        <f>Datos!CX12</f>
        <v>0</v>
      </c>
      <c r="BS12" s="561">
        <f>Datos!DU12</f>
        <v>0</v>
      </c>
      <c r="BT12" s="1476">
        <f>Datos!ER12/factor_trimestre</f>
        <v>123.63636363636364</v>
      </c>
    </row>
    <row r="13" spans="1:72" s="582" customFormat="1" ht="15" thickBot="1">
      <c r="A13" s="749">
        <f>Datos!AO13</f>
        <v>1</v>
      </c>
      <c r="B13" s="750" t="s">
        <v>314</v>
      </c>
      <c r="C13" s="751" t="str">
        <f>Datos!A13</f>
        <v xml:space="preserve">Jdos. de Menores    </v>
      </c>
      <c r="D13" s="605"/>
      <c r="E13" s="553">
        <f>IF(ISNUMBER(Datos!AQ13),Datos!AQ13," - ")</f>
        <v>1</v>
      </c>
      <c r="F13" s="556">
        <f>IF(ISNUMBER(Datos!L13+Datos!K13-Datos!J13-L13),Datos!L13+Datos!K13-Datos!J13-L13," - ")</f>
        <v>0</v>
      </c>
      <c r="G13" s="547">
        <f>IF(ISNUMBER(Datos!I13),Datos!I13," - ")</f>
        <v>0</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f>IF(ISNUMBER(Datos!K13),Datos!K13," - ")</f>
        <v>0</v>
      </c>
      <c r="AC13" s="551">
        <f>IF(ISNUMBER(Datos!Q13),Datos!Q13," - ")</f>
        <v>0</v>
      </c>
      <c r="AD13" s="553"/>
      <c r="AE13" s="567"/>
      <c r="AF13" s="555">
        <f>IF(ISNUMBER(Datos!L13),Datos!L13,"-")</f>
        <v>0</v>
      </c>
      <c r="AG13" s="553"/>
      <c r="AH13" s="553"/>
      <c r="AI13" s="553"/>
      <c r="AJ13" s="553"/>
      <c r="AK13" s="553"/>
      <c r="AL13" s="554"/>
      <c r="AM13" s="771">
        <f>IF(ISNUMBER(Datos!R13),Datos!R13," - ")</f>
        <v>0</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f>IF(ISNUMBER(Datos!M13),Datos!M13," - ")</f>
        <v>0</v>
      </c>
      <c r="BD13" s="697">
        <f>IF(ISNUMBER(Datos!N13),Datos!N13," - ")</f>
        <v>3</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159.09090909090909</v>
      </c>
    </row>
    <row r="14" spans="1:72" ht="15.75" thickTop="1" thickBot="1">
      <c r="A14" s="191"/>
      <c r="B14" s="191"/>
      <c r="C14" s="1163" t="str">
        <f>Datos!A14</f>
        <v>TOTAL</v>
      </c>
      <c r="D14" s="1199"/>
      <c r="E14" s="1199">
        <f t="shared" ref="E14:Z14" si="1">SUBTOTAL(9,E8:E13)</f>
        <v>6</v>
      </c>
      <c r="F14" s="1200">
        <f t="shared" si="1"/>
        <v>41</v>
      </c>
      <c r="G14" s="1200">
        <f t="shared" si="1"/>
        <v>41</v>
      </c>
      <c r="H14" s="1201">
        <f t="shared" si="1"/>
        <v>0</v>
      </c>
      <c r="I14" s="1200">
        <f t="shared" si="1"/>
        <v>0</v>
      </c>
      <c r="J14" s="1167">
        <f t="shared" si="1"/>
        <v>0</v>
      </c>
      <c r="K14" s="1167">
        <f t="shared" si="1"/>
        <v>0</v>
      </c>
      <c r="L14" s="1201">
        <f t="shared" si="1"/>
        <v>0</v>
      </c>
      <c r="M14" s="1201">
        <f t="shared" si="1"/>
        <v>0</v>
      </c>
      <c r="N14" s="1201">
        <f t="shared" si="1"/>
        <v>57</v>
      </c>
      <c r="O14" s="1202">
        <f t="shared" si="1"/>
        <v>0</v>
      </c>
      <c r="P14" s="1202">
        <f t="shared" si="1"/>
        <v>0</v>
      </c>
      <c r="Q14" s="1201">
        <f t="shared" si="1"/>
        <v>167</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14</v>
      </c>
      <c r="AC14" s="1201">
        <f t="shared" si="2"/>
        <v>306</v>
      </c>
      <c r="AD14" s="1201">
        <f t="shared" si="2"/>
        <v>0</v>
      </c>
      <c r="AE14" s="1201">
        <f t="shared" si="2"/>
        <v>0</v>
      </c>
      <c r="AF14" s="1201">
        <f t="shared" si="2"/>
        <v>36</v>
      </c>
      <c r="AG14" s="1201">
        <f t="shared" si="2"/>
        <v>0</v>
      </c>
      <c r="AH14" s="1201">
        <f t="shared" si="2"/>
        <v>122</v>
      </c>
      <c r="AI14" s="1201">
        <f t="shared" si="2"/>
        <v>0</v>
      </c>
      <c r="AJ14" s="1201">
        <f t="shared" si="2"/>
        <v>0</v>
      </c>
      <c r="AK14" s="1201">
        <f t="shared" si="2"/>
        <v>0</v>
      </c>
      <c r="AL14" s="1201">
        <f t="shared" si="2"/>
        <v>0</v>
      </c>
      <c r="AM14" s="1201">
        <f t="shared" si="2"/>
        <v>3351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93</v>
      </c>
      <c r="BD14" s="1201">
        <f t="shared" si="2"/>
        <v>175</v>
      </c>
      <c r="BE14" s="1201">
        <f t="shared" si="2"/>
        <v>0</v>
      </c>
      <c r="BF14" s="1201">
        <f t="shared" si="2"/>
        <v>0</v>
      </c>
      <c r="BG14" s="1201">
        <f>IF(ISNUMBER(Datos!K14/Datos!J14),Datos!K14/Datos!J14," - ")</f>
        <v>0.91945288753799392</v>
      </c>
      <c r="BH14" s="1205">
        <f>IF(ISNUMBER(((Datos!L14/Datos!K14)*11)/factor_trimestre),((Datos!L14/Datos!K14)*11)/factor_trimestre," - ")</f>
        <v>5.5371900826446279</v>
      </c>
      <c r="BI14" s="1201">
        <f>IF(ISNUMBER('Resol  Asuntos'!D14/NºAsuntos!G14),'Resol  Asuntos'!D14/NºAsuntos!G14," - ")</f>
        <v>0.14241960183767227</v>
      </c>
      <c r="BJ14" s="1201" t="str">
        <f>IF(ISNUMBER(Datos!CI14/Datos!CJ14),Datos!CI14/Datos!CJ14," - ")</f>
        <v xml:space="preserve"> - </v>
      </c>
      <c r="BK14" s="1201">
        <f>SUBTOTAL(9,BK8:BK13)</f>
        <v>0</v>
      </c>
      <c r="BL14" s="1201">
        <f>IF(ISNUMBER((I14-AB14+L14)/(F14)),(I14-AB14+L14)/(F14)," - ")</f>
        <v>-0.34146341463414637</v>
      </c>
      <c r="BM14" s="1206">
        <f>SUBTOTAL(9,BM9:BM13)</f>
        <v>-3.9828080229226362E-2</v>
      </c>
      <c r="BN14" s="1201">
        <f t="shared" ref="BN14:BT14" si="3">SUBTOTAL(9,BN8:BN13)</f>
        <v>0</v>
      </c>
      <c r="BO14" s="1201">
        <f t="shared" si="3"/>
        <v>0</v>
      </c>
      <c r="BP14" s="1201">
        <f t="shared" si="3"/>
        <v>0</v>
      </c>
      <c r="BQ14" s="1201">
        <f t="shared" si="3"/>
        <v>0</v>
      </c>
      <c r="BR14" s="1201">
        <f t="shared" si="3"/>
        <v>0</v>
      </c>
      <c r="BS14" s="1201">
        <f t="shared" si="3"/>
        <v>0</v>
      </c>
      <c r="BT14" s="1215">
        <f t="shared" si="3"/>
        <v>1032.3636363636363</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504</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600</v>
      </c>
    </row>
    <row r="17" spans="1:72" s="748" customFormat="1" ht="14.25">
      <c r="A17" s="740">
        <f>Datos!AO17</f>
        <v>5</v>
      </c>
      <c r="B17" s="741" t="s">
        <v>504</v>
      </c>
      <c r="C17" s="754" t="str">
        <f>Datos!A17</f>
        <v xml:space="preserve">Jdos. 1ª Instª. e Instr.                        </v>
      </c>
      <c r="D17" s="755"/>
      <c r="E17" s="746">
        <f>IF(ISNUMBER(Datos!AQ17),Datos!AQ17," - ")</f>
        <v>5</v>
      </c>
      <c r="F17" s="744">
        <f>IF(ISNUMBER(AF17+AB17-Datos!J17-L17),AF17+AB17-Datos!J17-L17," - ")</f>
        <v>1920</v>
      </c>
      <c r="G17" s="747">
        <f>IF(ISNUMBER(IF(D_I="SI",Datos!I17,Datos!I17+Datos!AC17)),IF(D_I="SI",Datos!I17,Datos!I17+Datos!AC17)," - ")</f>
        <v>1914</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22</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1305</v>
      </c>
      <c r="AC17" s="240">
        <f>IF(ISNUMBER(Datos!Q17),Datos!Q17," - ")</f>
        <v>96</v>
      </c>
      <c r="AD17" s="374"/>
      <c r="AE17" s="566"/>
      <c r="AF17" s="745">
        <f>IF(ISNUMBER(IF(D_I="SI",Datos!L17,Datos!L17+Datos!AF17)),IF(D_I="SI",Datos!L17,Datos!L17+Datos!AF17)," - ")</f>
        <v>1919</v>
      </c>
      <c r="AG17" s="374"/>
      <c r="AH17" s="374"/>
      <c r="AI17" s="374"/>
      <c r="AJ17" s="553"/>
      <c r="AK17" s="374"/>
      <c r="AL17" s="549"/>
      <c r="AM17" s="375">
        <f>IF(ISNUMBER(Datos!R17),Datos!R17," - ")</f>
        <v>160</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170</v>
      </c>
      <c r="BD17" s="243">
        <f>IF(ISNUMBER(Datos!N17),Datos!N17," - ")</f>
        <v>790</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1.0007668711656441</v>
      </c>
      <c r="BH17" s="769">
        <f>IF(ISNUMBER(((IF(D_I="SI",Datos!L17/Datos!K17,(Datos!L17+Datos!AF17)/(Datos!K17+Datos!AE17)))*11)/factor_trimestre),((IF(D_I="SI",Datos!L17/Datos!K17,(Datos!L17+Datos!AF17)/(Datos!K17+Datos!AE17)))*11)/factor_trimestre," - ")</f>
        <v>2.9409961685823749</v>
      </c>
      <c r="BI17" s="266">
        <f>IF(ISNUMBER('Resol  Asuntos'!D17/NºAsuntos!G17),'Resol  Asuntos'!D17/NºAsuntos!G17," - ")</f>
        <v>0.13026819923371646</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181.81818181818181</v>
      </c>
    </row>
    <row r="18" spans="1:72" s="582" customFormat="1" ht="14.25">
      <c r="A18" s="749">
        <f>Datos!AO18</f>
        <v>1</v>
      </c>
      <c r="B18" s="750" t="s">
        <v>504</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80</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144</v>
      </c>
      <c r="AC18" s="551">
        <f>IF(ISNUMBER(Datos!Q18),Datos!Q18," - ")</f>
        <v>0</v>
      </c>
      <c r="AD18" s="553"/>
      <c r="AE18" s="566"/>
      <c r="AF18" s="555">
        <f>IF(ISNUMBER(Datos!L18),Datos!L18,"-")</f>
        <v>82</v>
      </c>
      <c r="AG18" s="553"/>
      <c r="AH18" s="553"/>
      <c r="AI18" s="553"/>
      <c r="AJ18" s="553"/>
      <c r="AK18" s="553"/>
      <c r="AL18" s="554"/>
      <c r="AM18" s="771">
        <f>IF(ISNUMBER(Datos!R18),Datos!R18," - ")</f>
        <v>9</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13</v>
      </c>
      <c r="BD18" s="697">
        <f>IF(ISNUMBER(Datos!N18),Datos!N18," - ")</f>
        <v>93</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0.98630136986301364</v>
      </c>
      <c r="BH18" s="769">
        <f>IF(ISNUMBER(((IF(D_I="SI",Datos!L18/Datos!K18,(Datos!L18+Datos!AF18)/(Datos!K18+Datos!AE18)))*11)/factor_trimestre),((IF(D_I="SI",Datos!L18/Datos!K18,(Datos!L18+Datos!AF18)/(Datos!K18+Datos!AE18)))*11)/factor_trimestre," - ")</f>
        <v>1.1388888888888888</v>
      </c>
      <c r="BI18" s="768">
        <f>IF(ISNUMBER('Resol  Asuntos'!D18/NºAsuntos!G18),'Resol  Asuntos'!D18/NºAsuntos!G18," - ")</f>
        <v>9.0277777777777776E-2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290.90909090909093</v>
      </c>
    </row>
    <row r="19" spans="1:72" s="582" customFormat="1" ht="14.25">
      <c r="A19" s="749">
        <f>Datos!AO19</f>
        <v>1</v>
      </c>
      <c r="B19" s="750" t="s">
        <v>504</v>
      </c>
      <c r="C19" s="751" t="str">
        <f>Datos!A19</f>
        <v xml:space="preserve">Jdos. de Menores                                </v>
      </c>
      <c r="D19" s="605"/>
      <c r="E19" s="721">
        <f>IF(ISNUMBER(Datos!AQ19),Datos!AQ19," - ")</f>
        <v>1</v>
      </c>
      <c r="F19" s="556">
        <f>IF(ISNUMBER(Datos!L19+Datos!K19-Datos!J19),Datos!L19+Datos!K19-Datos!J19," - ")</f>
        <v>272</v>
      </c>
      <c r="G19" s="547">
        <f>IF(ISNUMBER(Datos!I19),Datos!I19," - ")</f>
        <v>272</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29</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f>IF(ISNUMBER(Datos!K19),Datos!K19," - ")</f>
        <v>93</v>
      </c>
      <c r="AC19" s="551">
        <f>IF(ISNUMBER(Datos!Q19),Datos!Q19," - ")</f>
        <v>32</v>
      </c>
      <c r="AD19" s="553"/>
      <c r="AE19" s="567"/>
      <c r="AF19" s="555">
        <f>IF(ISNUMBER(Datos!L19),Datos!L19,"-")</f>
        <v>233</v>
      </c>
      <c r="AG19" s="553"/>
      <c r="AH19" s="553"/>
      <c r="AI19" s="553"/>
      <c r="AJ19" s="553"/>
      <c r="AK19" s="553"/>
      <c r="AL19" s="554"/>
      <c r="AM19" s="771">
        <f>IF(ISNUMBER(Datos!R19),Datos!R19," - ")</f>
        <v>205</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f>IF(ISNUMBER(Datos!M19),Datos!M19," - ")</f>
        <v>35</v>
      </c>
      <c r="BD19" s="697"/>
      <c r="BE19" s="697"/>
      <c r="BF19" s="767"/>
      <c r="BG19" s="768">
        <f>IF(ISNUMBER(Datos!K19/Datos!J19),Datos!K19/Datos!J19," - ")</f>
        <v>1.7222222222222223</v>
      </c>
      <c r="BH19" s="769">
        <f>IF(ISNUMBER(((Datos!L19/Datos!K19)*11)/factor_trimestre),((Datos!L19/Datos!K19)*11)/factor_trimestre," - ")</f>
        <v>5.010752688172043</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159.09090909090909</v>
      </c>
    </row>
    <row r="20" spans="1:72" s="748" customFormat="1" ht="14.25">
      <c r="A20" s="740">
        <f>Datos!AO20</f>
        <v>0</v>
      </c>
      <c r="B20" s="741" t="s">
        <v>504</v>
      </c>
      <c r="C20" s="742" t="str">
        <f>Datos!A20</f>
        <v xml:space="preserve">Jdos. Vigilancia Penitenciaria                  </v>
      </c>
      <c r="D20" s="743"/>
      <c r="E20" s="746">
        <f>IF(ISNUMBER(Datos!AQ20),Datos!AQ20," - ")</f>
        <v>0</v>
      </c>
      <c r="F20" s="556">
        <f>IF(ISNUMBER(Datos!L20+Datos!K20-Datos!J20-L20),Datos!L20+Datos!K20-Datos!J20-L20," - ")</f>
        <v>33</v>
      </c>
      <c r="G20" s="747">
        <f>IF(ISNUMBER(Datos!I20),Datos!I20," - ")</f>
        <v>33</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f>IF(ISNUMBER(Datos!K20),Datos!K20," - ")</f>
        <v>162</v>
      </c>
      <c r="AC20" s="551" t="str">
        <f>IF(ISNUMBER(Datos!Q20),Datos!Q20," - ")</f>
        <v xml:space="preserve"> - </v>
      </c>
      <c r="AD20" s="374"/>
      <c r="AE20" s="566"/>
      <c r="AF20" s="745">
        <f>IF(ISNUMBER(Datos!L20),Datos!L20,"-")</f>
        <v>55</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f>IF(ISNUMBER(Datos!N20),Datos!N20," - ")</f>
        <v>162</v>
      </c>
      <c r="BE20" s="243"/>
      <c r="BF20" s="242" t="str">
        <f>IF(ISNUMBER(Datos!BX20),Datos!BX20," - ")</f>
        <v xml:space="preserve"> - </v>
      </c>
      <c r="BG20" s="768">
        <f>IF(ISNUMBER(Datos!K20/Datos!J20),Datos!K20/Datos!J20," - ")</f>
        <v>0.88043478260869568</v>
      </c>
      <c r="BH20" s="769">
        <f>IF(ISNUMBER(((Datos!L20/Datos!K20)*11)/factor_trimestre),((Datos!L20/Datos!K20)*11)/factor_trimestre," - ")</f>
        <v>0.67901234567901236</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952.72727272727275</v>
      </c>
    </row>
    <row r="21" spans="1:72" s="582" customFormat="1" ht="14.25">
      <c r="A21" s="749">
        <f>Datos!AO21</f>
        <v>2</v>
      </c>
      <c r="B21" s="750" t="s">
        <v>504</v>
      </c>
      <c r="C21" s="751" t="str">
        <f>Datos!A21</f>
        <v xml:space="preserve">Jdos. de lo Penal                               </v>
      </c>
      <c r="D21" s="605"/>
      <c r="E21" s="721">
        <f>IF(ISNUMBER(Datos!AQ21),Datos!AQ21," - ")</f>
        <v>2</v>
      </c>
      <c r="F21" s="556">
        <f>IF(ISNUMBER(Datos!L21+Datos!K21-Datos!J21),Datos!L21+Datos!K21-Datos!J21," - ")</f>
        <v>600</v>
      </c>
      <c r="G21" s="547">
        <f>IF(ISNUMBER(Datos!I21),Datos!I21," - ")</f>
        <v>600</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174</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175</v>
      </c>
      <c r="AC21" s="551">
        <f>IF(ISNUMBER(Datos!Q21),Datos!Q21," - ")</f>
        <v>431</v>
      </c>
      <c r="AD21" s="553"/>
      <c r="AE21" s="567"/>
      <c r="AF21" s="555">
        <f>IF(ISNUMBER(Datos!L21),Datos!L21,"-")</f>
        <v>571</v>
      </c>
      <c r="AG21" s="553"/>
      <c r="AH21" s="553"/>
      <c r="AI21" s="553"/>
      <c r="AJ21" s="553"/>
      <c r="AK21" s="553"/>
      <c r="AL21" s="554"/>
      <c r="AM21" s="771">
        <f>IF(ISNUMBER(Datos!R21),Datos!R21," - ")</f>
        <v>928</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143</v>
      </c>
      <c r="BD21" s="697"/>
      <c r="BE21" s="697" t="str">
        <f>IF(ISNUMBER(Datos!BW21),Datos!BW21," - ")</f>
        <v xml:space="preserve"> - </v>
      </c>
      <c r="BF21" s="767" t="str">
        <f>IF(ISNUMBER(Datos!BX21),Datos!BX21," - ")</f>
        <v xml:space="preserve"> - </v>
      </c>
      <c r="BG21" s="768">
        <f>IF(ISNUMBER(Datos!K21/Datos!J21),Datos!K21/Datos!J21," - ")</f>
        <v>1.1986301369863013</v>
      </c>
      <c r="BH21" s="769">
        <f>IF(ISNUMBER(((Datos!L21/Datos!K21)*11)/factor_trimestre),((Datos!L21/Datos!K21)*11)/factor_trimestre," - ")</f>
        <v>6.5257142857142858</v>
      </c>
      <c r="BI21" s="768">
        <f>IF(ISNUMBER('Resol  Asuntos'!D21/NºAsuntos!G21),'Resol  Asuntos'!D21/NºAsuntos!G21," - ")</f>
        <v>0.81714285714285717</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72.727272727272734</v>
      </c>
    </row>
    <row r="22" spans="1:72" s="582" customFormat="1" ht="15" thickBot="1">
      <c r="A22" s="749">
        <f>Datos!AO22</f>
        <v>0</v>
      </c>
      <c r="B22" s="750" t="s">
        <v>504</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436.36363636363637</v>
      </c>
    </row>
    <row r="23" spans="1:72" ht="15.75" thickTop="1" thickBot="1">
      <c r="A23" s="191"/>
      <c r="B23" s="191"/>
      <c r="C23" s="1163" t="str">
        <f>Datos!A23</f>
        <v>TOTAL</v>
      </c>
      <c r="D23" s="1199"/>
      <c r="E23" s="1199">
        <f>SUBTOTAL(9,E16:E22)</f>
        <v>8</v>
      </c>
      <c r="F23" s="1200">
        <f>SUBTOTAL(9,F16:F22)</f>
        <v>2825</v>
      </c>
      <c r="G23" s="1200">
        <f>SUBTOTAL(9,G16:G22)</f>
        <v>2899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225</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1879</v>
      </c>
      <c r="AC23" s="1201">
        <f t="shared" si="5"/>
        <v>559</v>
      </c>
      <c r="AD23" s="1201">
        <f t="shared" si="5"/>
        <v>0</v>
      </c>
      <c r="AE23" s="1201">
        <f t="shared" si="5"/>
        <v>0</v>
      </c>
      <c r="AF23" s="1201">
        <f t="shared" si="5"/>
        <v>2860</v>
      </c>
      <c r="AG23" s="1201">
        <f t="shared" si="5"/>
        <v>0</v>
      </c>
      <c r="AH23" s="1201">
        <f t="shared" si="5"/>
        <v>0</v>
      </c>
      <c r="AI23" s="1201">
        <f t="shared" si="5"/>
        <v>0</v>
      </c>
      <c r="AJ23" s="1201">
        <f t="shared" si="5"/>
        <v>0</v>
      </c>
      <c r="AK23" s="1201">
        <f t="shared" si="5"/>
        <v>0</v>
      </c>
      <c r="AL23" s="1201">
        <f t="shared" si="5"/>
        <v>0</v>
      </c>
      <c r="AM23" s="1201">
        <f t="shared" si="5"/>
        <v>1302</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361</v>
      </c>
      <c r="BD23" s="1201">
        <f t="shared" si="5"/>
        <v>1045</v>
      </c>
      <c r="BE23" s="1201">
        <f t="shared" si="5"/>
        <v>0</v>
      </c>
      <c r="BF23" s="1201">
        <f t="shared" si="5"/>
        <v>0</v>
      </c>
      <c r="BG23" s="1201">
        <f>IF(ISNUMBER(Datos!K23/Datos!J23),Datos!K23/Datos!J23," - ")</f>
        <v>1.0245365321701199</v>
      </c>
      <c r="BH23" s="1205">
        <f>IF(ISNUMBER(((Datos!L23/Datos!K23)*11)/factor_trimestre),((Datos!L23/Datos!K23)*11)/factor_trimestre," - ")</f>
        <v>3.0441724321447579</v>
      </c>
      <c r="BI23" s="1201">
        <f>SUBTOTAL(9,BI16:BI22)</f>
        <v>1.0376888341543515</v>
      </c>
      <c r="BJ23" s="1201">
        <f>SUBTOTAL(9,BJ16:BJ22)</f>
        <v>0</v>
      </c>
      <c r="BK23" s="1201">
        <f>SUBTOTAL(9,BK16:BK22)</f>
        <v>0</v>
      </c>
      <c r="BL23" s="1201">
        <f>IF(ISNUMBER((I23-AB23+L23)/(F23)),(I23-AB23+L23)/(F23)," - ")</f>
        <v>-0.6651327433628319</v>
      </c>
      <c r="BM23" s="1208">
        <f>IF(ISNUMBER((Datos!P23-Datos!Q23)/(Datos!R23-Datos!P23+Datos!Q23)),(Datos!P23-Datos!Q23)/(Datos!R23-Datos!P23+Datos!Q23)," - ")</f>
        <v>-0.20415647921760391</v>
      </c>
      <c r="BN23" s="1201">
        <f t="shared" ref="BN23:BT23" si="6">SUBTOTAL(9,BN16:BN22)</f>
        <v>0</v>
      </c>
      <c r="BO23" s="1201">
        <f t="shared" si="6"/>
        <v>0</v>
      </c>
      <c r="BP23" s="1201">
        <f t="shared" si="6"/>
        <v>0</v>
      </c>
      <c r="BQ23" s="1201">
        <f t="shared" si="6"/>
        <v>0</v>
      </c>
      <c r="BR23" s="1201">
        <f t="shared" si="6"/>
        <v>0</v>
      </c>
      <c r="BS23" s="1201">
        <f t="shared" si="6"/>
        <v>0</v>
      </c>
      <c r="BT23" s="1215">
        <f t="shared" si="6"/>
        <v>2693.6363636363635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3</v>
      </c>
      <c r="B25" s="604" t="s">
        <v>505</v>
      </c>
      <c r="C25" s="7" t="str">
        <f>Datos!A25</f>
        <v xml:space="preserve">Jdos Cont.-Admvo.                               </v>
      </c>
      <c r="D25" s="553"/>
      <c r="E25" s="721">
        <f>IF(ISNUMBER(Datos!AQ25),Datos!AQ25," - ")</f>
        <v>3</v>
      </c>
      <c r="F25" s="556">
        <f>IF(ISNUMBER(Datos!L25+Datos!K25-Datos!J25),Datos!L25+Datos!K25-Datos!J25," - ")</f>
        <v>502</v>
      </c>
      <c r="G25" s="547">
        <f>IF(ISNUMBER(Datos!I25),Datos!I25," - ")</f>
        <v>496</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2</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f>IF(ISNUMBER(Datos!K25),Datos!K25," - ")</f>
        <v>221</v>
      </c>
      <c r="AC25" s="240">
        <f>IF(ISNUMBER(Datos!Q25),Datos!Q25," - ")</f>
        <v>5</v>
      </c>
      <c r="AD25" s="374"/>
      <c r="AE25" s="566"/>
      <c r="AF25" s="372">
        <f>IF(ISNUMBER(Datos!L25),Datos!L25,"-")</f>
        <v>419</v>
      </c>
      <c r="AG25" s="553" t="str">
        <f>IF(ISNUMBER(Datos!DN25),Datos!DN25,"-")</f>
        <v>-</v>
      </c>
      <c r="AH25" s="374"/>
      <c r="AI25" s="374"/>
      <c r="AJ25" s="553"/>
      <c r="AK25" s="553" t="str">
        <f>IF(ISNUMBER(Datos!DO25),Datos!DO25,"-")</f>
        <v>-</v>
      </c>
      <c r="AL25" s="554"/>
      <c r="AM25" s="375">
        <f>IF(ISNUMBER(Datos!R25),Datos!R25," - ")</f>
        <v>31</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f>IF(ISNUMBER(Datos!M25),Datos!M25," - ")</f>
        <v>109</v>
      </c>
      <c r="BD25" s="239">
        <f>IF(ISNUMBER(Datos!N25),Datos!N25," - ")</f>
        <v>112</v>
      </c>
      <c r="BE25" s="245" t="str">
        <f>IF(ISNUMBER(Datos!BW25),Datos!BW25," - ")</f>
        <v xml:space="preserve"> - </v>
      </c>
      <c r="BF25" s="246" t="str">
        <f>IF(ISNUMBER(Datos!BX25),Datos!BX25," - ")</f>
        <v xml:space="preserve"> - </v>
      </c>
      <c r="BG25" s="768">
        <f>IF(ISNUMBER(Datos!K25/Datos!J25),Datos!K25/Datos!J25," - ")</f>
        <v>1.6014492753623188</v>
      </c>
      <c r="BH25" s="769">
        <f>IF(ISNUMBER(((Datos!L25/Datos!K25)*11)/factor_trimestre),((Datos!L25/Datos!K25)*11)/factor_trimestre," - ")</f>
        <v>3.7918552036199098</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103.63636363636364</v>
      </c>
    </row>
    <row r="26" spans="1:72" ht="15.75" thickTop="1" thickBot="1">
      <c r="A26" s="191"/>
      <c r="B26" s="191"/>
      <c r="C26" s="1163" t="str">
        <f>Datos!A26</f>
        <v>TOTAL</v>
      </c>
      <c r="D26" s="1199"/>
      <c r="E26" s="1199">
        <f>SUBTOTAL(9,E23:E25)</f>
        <v>3</v>
      </c>
      <c r="F26" s="1200">
        <f t="shared" ref="F26:K26" si="8">SUBTOTAL(9,F25:F25)</f>
        <v>502</v>
      </c>
      <c r="G26" s="1200">
        <f t="shared" si="8"/>
        <v>496</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2</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221</v>
      </c>
      <c r="AC26" s="1201">
        <f t="shared" si="10"/>
        <v>5</v>
      </c>
      <c r="AD26" s="1201">
        <f t="shared" si="10"/>
        <v>0</v>
      </c>
      <c r="AE26" s="1201">
        <f t="shared" si="10"/>
        <v>0</v>
      </c>
      <c r="AF26" s="1202">
        <f t="shared" si="10"/>
        <v>419</v>
      </c>
      <c r="AG26" s="1202">
        <f t="shared" si="10"/>
        <v>0</v>
      </c>
      <c r="AH26" s="1202">
        <f t="shared" si="10"/>
        <v>0</v>
      </c>
      <c r="AI26" s="1202">
        <f t="shared" si="10"/>
        <v>0</v>
      </c>
      <c r="AJ26" s="1201">
        <f t="shared" si="10"/>
        <v>0</v>
      </c>
      <c r="AK26" s="1202">
        <f t="shared" si="10"/>
        <v>0</v>
      </c>
      <c r="AL26" s="1202">
        <f t="shared" si="10"/>
        <v>0</v>
      </c>
      <c r="AM26" s="1202">
        <f t="shared" si="10"/>
        <v>31</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109</v>
      </c>
      <c r="BD26" s="1214"/>
      <c r="BE26" s="1201">
        <f>SUBTOTAL(9,BE25:BE25)</f>
        <v>0</v>
      </c>
      <c r="BF26" s="1210">
        <f>SUBTOTAL(9,BF25:BF25)</f>
        <v>0</v>
      </c>
      <c r="BG26" s="1210">
        <f>IF(ISNUMBER(Datos!K26/Datos!J26),Datos!K26/Datos!J26," - ")</f>
        <v>1.6014492753623188</v>
      </c>
      <c r="BH26" s="1205">
        <f>IF(ISNUMBER(((Datos!L26/Datos!K26)*11)/factor_trimestre),((Datos!L26/Datos!K26)*11)/factor_trimestre," - ")</f>
        <v>3.7918552036199098</v>
      </c>
      <c r="BI26" s="1206"/>
      <c r="BJ26" s="1206" t="str">
        <f>IF(ISNUMBER(Datos!CI26/Datos!CJ26),Datos!CI26/Datos!CJ26," - ")</f>
        <v xml:space="preserve"> - </v>
      </c>
      <c r="BK26" s="1216"/>
      <c r="BL26" s="1201">
        <f t="shared" si="7"/>
        <v>-0.44023904382470119</v>
      </c>
      <c r="BM26" s="1208">
        <f>IF(ISNUMBER((Datos!P26-Datos!Q26)/(Datos!R26-Datos!P26+Datos!Q26)),(Datos!P26-Datos!Q26)/(Datos!R26-Datos!P26+Datos!Q26)," - ")</f>
        <v>-8.8235294117647065E-2</v>
      </c>
      <c r="BN26" s="1217"/>
      <c r="BO26" s="1217"/>
      <c r="BP26" s="1199">
        <f>SUBTOTAL(9,BP23:BP25)</f>
        <v>0</v>
      </c>
      <c r="BQ26" s="1199">
        <f>SUBTOTAL(9,BQ23:BQ25)</f>
        <v>0</v>
      </c>
      <c r="BR26" s="1199">
        <f>SUBTOTAL(9,BR23:BR25)</f>
        <v>0</v>
      </c>
      <c r="BS26" s="1199">
        <f>SUBTOTAL(9,BS23:BS25)</f>
        <v>0</v>
      </c>
      <c r="BT26" s="1479">
        <f>SUBTOTAL(9,BT23:BT25)</f>
        <v>103.63636363636364</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506</v>
      </c>
      <c r="C28" s="7" t="str">
        <f>Datos!A28</f>
        <v xml:space="preserve">Jdos. de lo Social                              </v>
      </c>
      <c r="D28" s="553"/>
      <c r="E28" s="721">
        <f>IF(ISNUMBER(Datos!AQ28),Datos!AQ28," - ")</f>
        <v>1</v>
      </c>
      <c r="F28" s="556">
        <f>IF(ISNUMBER(Datos!L28+Datos!K28-Datos!J28),Datos!L28+Datos!K28-Datos!J28," - ")</f>
        <v>691</v>
      </c>
      <c r="G28" s="547">
        <f>IF(ISNUMBER(Datos!I28),Datos!I28," - ")</f>
        <v>711</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27</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77</v>
      </c>
      <c r="AC28" s="240">
        <f>IF(ISNUMBER(Datos!Q28),Datos!Q28," - ")</f>
        <v>41</v>
      </c>
      <c r="AD28" s="374"/>
      <c r="AE28" s="566"/>
      <c r="AF28" s="372">
        <f>IF(ISNUMBER(Datos!L28),Datos!L28,"-")</f>
        <v>795</v>
      </c>
      <c r="AG28" s="553"/>
      <c r="AH28" s="374"/>
      <c r="AI28" s="374"/>
      <c r="AJ28" s="553"/>
      <c r="AK28" s="553"/>
      <c r="AL28" s="554"/>
      <c r="AM28" s="375">
        <f>IF(ISNUMBER(Datos!R28),Datos!R28," - ")</f>
        <v>202</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30</v>
      </c>
      <c r="BD28" s="239">
        <f>IF(ISNUMBER(Datos!N28),Datos!N28," - ")</f>
        <v>24</v>
      </c>
      <c r="BE28" s="245" t="str">
        <f>IF(ISNUMBER(Datos!BW28),Datos!BW28," - ")</f>
        <v xml:space="preserve"> - </v>
      </c>
      <c r="BF28" s="246" t="str">
        <f>IF(ISNUMBER(Datos!BX28),Datos!BX28," - ")</f>
        <v xml:space="preserve"> - </v>
      </c>
      <c r="BG28" s="768">
        <f>IF(ISNUMBER(Datos!K28/Datos!J28),Datos!K28/Datos!J28," - ")</f>
        <v>0.425414364640884</v>
      </c>
      <c r="BH28" s="769">
        <f>IF(ISNUMBER(((Datos!L28/Datos!K28)*11)/factor_trimestre),((Datos!L28/Datos!K28)*11)/factor_trimestre," - ")</f>
        <v>20.649350649350648</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145.45454545454547</v>
      </c>
    </row>
    <row r="29" spans="1:72" ht="15" thickBot="1">
      <c r="A29" s="596">
        <f>Datos!AO29</f>
        <v>0</v>
      </c>
      <c r="B29" s="604" t="s">
        <v>506</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636.36363636363637</v>
      </c>
    </row>
    <row r="30" spans="1:72" ht="15.75" thickTop="1" thickBot="1">
      <c r="A30" s="191"/>
      <c r="B30" s="191"/>
      <c r="C30" s="1163" t="str">
        <f>Datos!A30</f>
        <v>TOTAL</v>
      </c>
      <c r="D30" s="1199"/>
      <c r="E30" s="1199">
        <f>SUBTOTAL(9,E25:E29)</f>
        <v>4</v>
      </c>
      <c r="F30" s="1200">
        <f t="shared" ref="F30:K30" si="12">SUBTOTAL(9,F28:F29)</f>
        <v>691</v>
      </c>
      <c r="G30" s="1200">
        <f t="shared" si="12"/>
        <v>711</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27</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77</v>
      </c>
      <c r="AC30" s="1201">
        <f t="shared" si="14"/>
        <v>41</v>
      </c>
      <c r="AD30" s="1201">
        <f t="shared" si="14"/>
        <v>0</v>
      </c>
      <c r="AE30" s="1201">
        <f t="shared" si="14"/>
        <v>0</v>
      </c>
      <c r="AF30" s="1202">
        <f t="shared" si="14"/>
        <v>795</v>
      </c>
      <c r="AG30" s="1202">
        <f t="shared" si="14"/>
        <v>0</v>
      </c>
      <c r="AH30" s="1202">
        <f t="shared" si="14"/>
        <v>0</v>
      </c>
      <c r="AI30" s="1202">
        <f t="shared" si="14"/>
        <v>0</v>
      </c>
      <c r="AJ30" s="1201">
        <f t="shared" si="14"/>
        <v>0</v>
      </c>
      <c r="AK30" s="1202">
        <f t="shared" si="14"/>
        <v>0</v>
      </c>
      <c r="AL30" s="1202"/>
      <c r="AM30" s="1202">
        <f t="shared" ref="AM30:AV30" si="15">SUBTOTAL(9,AM28:AM29)</f>
        <v>202</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30</v>
      </c>
      <c r="BD30" s="1214"/>
      <c r="BE30" s="1201">
        <f>SUBTOTAL(9,BE28:BE29)</f>
        <v>0</v>
      </c>
      <c r="BF30" s="1210">
        <f>SUBTOTAL(9,BF28:BF29)</f>
        <v>0</v>
      </c>
      <c r="BG30" s="1201">
        <f>IF(ISNUMBER(Datos!K30/Datos!J30),Datos!K30/Datos!J30," - ")</f>
        <v>0.425414364640884</v>
      </c>
      <c r="BH30" s="1205">
        <f>IF(ISNUMBER(((Datos!L30/Datos!K30)*11)/factor_trimestre),((Datos!L30/Datos!K30)*11)/factor_trimestre," - ")</f>
        <v>20.649350649350648</v>
      </c>
      <c r="BI30" s="1206"/>
      <c r="BJ30" s="1206">
        <f>IF(ISNUMBER(BL30/BM30),BL30/BM30," - ")</f>
        <v>1.719247467438495</v>
      </c>
      <c r="BK30" s="1199">
        <f>SUBTOTAL(9,BK28:BK29)</f>
        <v>0</v>
      </c>
      <c r="BL30" s="1201">
        <f t="shared" si="11"/>
        <v>-0.11143270622286541</v>
      </c>
      <c r="BM30" s="1208">
        <f>IF(ISNUMBER((Datos!P30-Datos!Q30)/(Datos!R30-Datos!P30+Datos!Q30)),(Datos!P30-Datos!Q30)/(Datos!R30-Datos!P30+Datos!Q30)," - ")</f>
        <v>-6.4814814814814811E-2</v>
      </c>
      <c r="BN30" s="1217"/>
      <c r="BO30" s="1217"/>
      <c r="BP30" s="1199">
        <f>SUBTOTAL(9,BP25:BP29)</f>
        <v>0</v>
      </c>
      <c r="BQ30" s="1199">
        <f>SUBTOTAL(9,BQ25:BQ29)</f>
        <v>0</v>
      </c>
      <c r="BR30" s="1199">
        <f>SUBTOTAL(9,BR25:BR29)</f>
        <v>0</v>
      </c>
      <c r="BS30" s="1199">
        <f>SUBTOTAL(9,BS25:BS29)</f>
        <v>0</v>
      </c>
      <c r="BT30" s="1479">
        <f>SUBTOTAL(9,BT25:BT29)</f>
        <v>885.4545454545455</v>
      </c>
    </row>
    <row r="31" spans="1:72" ht="18.75" customHeight="1" thickTop="1" thickBot="1">
      <c r="A31" s="185"/>
      <c r="B31" s="185"/>
      <c r="C31" s="1118" t="str">
        <f>Datos!A31</f>
        <v>TOTAL JURISDICCIONES</v>
      </c>
      <c r="D31" s="1118"/>
      <c r="E31" s="1223">
        <f t="shared" ref="E31:R31" si="16">SUBTOTAL(9,E9:E30)</f>
        <v>18</v>
      </c>
      <c r="F31" s="1120">
        <f t="shared" si="16"/>
        <v>4059</v>
      </c>
      <c r="G31" s="1120">
        <f t="shared" si="16"/>
        <v>4147</v>
      </c>
      <c r="H31" s="1122">
        <f t="shared" si="16"/>
        <v>0</v>
      </c>
      <c r="I31" s="1120">
        <f t="shared" si="16"/>
        <v>0</v>
      </c>
      <c r="J31" s="1122">
        <f t="shared" si="16"/>
        <v>0</v>
      </c>
      <c r="K31" s="1122">
        <f t="shared" si="16"/>
        <v>0</v>
      </c>
      <c r="L31" s="1183">
        <f t="shared" si="16"/>
        <v>0</v>
      </c>
      <c r="M31" s="1183">
        <f t="shared" si="16"/>
        <v>0</v>
      </c>
      <c r="N31" s="1183">
        <f t="shared" si="16"/>
        <v>57</v>
      </c>
      <c r="O31" s="1183">
        <f t="shared" si="16"/>
        <v>0</v>
      </c>
      <c r="P31" s="1183">
        <f t="shared" si="16"/>
        <v>0</v>
      </c>
      <c r="Q31" s="1122">
        <f t="shared" si="16"/>
        <v>421</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2191</v>
      </c>
      <c r="AC31" s="1121">
        <f t="shared" si="17"/>
        <v>911</v>
      </c>
      <c r="AD31" s="1121">
        <f t="shared" si="17"/>
        <v>0</v>
      </c>
      <c r="AE31" s="1121">
        <f t="shared" si="17"/>
        <v>0</v>
      </c>
      <c r="AF31" s="1128">
        <f t="shared" si="17"/>
        <v>4110</v>
      </c>
      <c r="AG31" s="1128">
        <f t="shared" si="17"/>
        <v>0</v>
      </c>
      <c r="AH31" s="1128">
        <f t="shared" si="17"/>
        <v>122</v>
      </c>
      <c r="AI31" s="1128">
        <f t="shared" si="17"/>
        <v>0</v>
      </c>
      <c r="AJ31" s="1121">
        <f t="shared" si="17"/>
        <v>0</v>
      </c>
      <c r="AK31" s="1128">
        <f t="shared" si="17"/>
        <v>0</v>
      </c>
      <c r="AL31" s="1128">
        <f t="shared" si="17"/>
        <v>0</v>
      </c>
      <c r="AM31" s="1128">
        <f t="shared" si="17"/>
        <v>4886</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593</v>
      </c>
      <c r="BD31" s="1120">
        <f t="shared" si="17"/>
        <v>1356</v>
      </c>
      <c r="BE31" s="1120">
        <f t="shared" si="17"/>
        <v>0</v>
      </c>
      <c r="BF31" s="1130">
        <f t="shared" si="17"/>
        <v>0</v>
      </c>
      <c r="BG31" s="1227">
        <f>IF(ISNUMBER(Datos!K31/Datos!J31),Datos!K31/Datos!J31," - ")</f>
        <v>0.98968338669512634</v>
      </c>
      <c r="BH31" s="1227">
        <f>IF(ISNUMBER(((Datos!L31/Datos!K31)*11)/factor_trimestre),((Datos!L31/Datos!K31)*11)/factor_trimestre," - ")</f>
        <v>4.1329978432782175</v>
      </c>
      <c r="BI31" s="1106">
        <f>IF(ISNUMBER(Datos!J31/Datos!I31),Datos!J31/Datos!I31," - ")</f>
        <v>0.49690648753756406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-0.53978812515397878</v>
      </c>
      <c r="BM31" s="1191">
        <f>IF(ISNUMBER((Datos!P31-Datos!Q31+R31)/(Datos!R31-Datos!P31+Datos!Q31-R31)),(Datos!P31-Datos!Q31+R31)/(Datos!R31-Datos!P31+Datos!Q31-R31)," - ")</f>
        <v>-9.1145833333333329E-2</v>
      </c>
      <c r="BN31" s="1230">
        <f t="shared" ref="BN31:BT31" si="18">SUBTOTAL(9,BN9:BN30)</f>
        <v>0</v>
      </c>
      <c r="BO31" s="1230">
        <f t="shared" si="18"/>
        <v>0</v>
      </c>
      <c r="BP31" s="1182">
        <f t="shared" si="18"/>
        <v>0</v>
      </c>
      <c r="BQ31" s="1182">
        <f t="shared" si="18"/>
        <v>0</v>
      </c>
      <c r="BR31" s="1182">
        <f t="shared" si="18"/>
        <v>0</v>
      </c>
      <c r="BS31" s="1182">
        <f t="shared" si="18"/>
        <v>0</v>
      </c>
      <c r="BT31" s="1481">
        <f t="shared" si="18"/>
        <v>4611.454545454545</v>
      </c>
    </row>
    <row r="32" spans="1:72" ht="18.75" customHeight="1" thickTop="1" thickBot="1">
      <c r="A32" s="180"/>
      <c r="B32" s="180"/>
      <c r="C32" s="1138" t="s">
        <v>334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638</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335</v>
      </c>
      <c r="D33" s="562"/>
      <c r="E33" s="638">
        <f>IF(ISNUMBER(STDEV(E8:E30)),STDEV(E8:E30),"-")</f>
        <v>2.4826886011053579</v>
      </c>
      <c r="F33" s="677">
        <f>IF(ISNUMBER(STDEV(F8:F30)),STDEV(F8:F30),"-")</f>
        <v>856.66387807587637</v>
      </c>
      <c r="G33" s="678">
        <f>IF(ISNUMBER(STDEV(G8:G30)),STDEV(G8:G30),"-")</f>
        <v>852.63972461995934</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573.93240913578859</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97.758336256773049</v>
      </c>
      <c r="BD33" s="677"/>
      <c r="BE33" s="677">
        <f>IF(ISNUMBER(STDEV(BE8:BE30)),STDEV(BE8:BE30),"-")</f>
        <v>0</v>
      </c>
      <c r="BF33" s="682">
        <f>IF(ISNUMBER(STDEV(BF8:BF30)),STDEV(BF8:BF30),"-")</f>
        <v>0</v>
      </c>
      <c r="BG33" s="1055">
        <f>IF(ISNUMBER(STDEV(BG8:BG30)),STDEV(BG8:BG30),"-")</f>
        <v>0.42470549355365211</v>
      </c>
      <c r="BH33" s="1061">
        <f>IF(ISNUMBER(STDEV(BH8:BH30)),STDEV(BH8:BH30),"-")</f>
        <v>6.5081644603174089</v>
      </c>
      <c r="BI33" s="273">
        <f>IF(ISNUMBER(STDEV(BI8:BI30)),STDEV(BI8:BI30),"-")</f>
        <v>0.44894288141537458</v>
      </c>
      <c r="BJ33" s="244" t="str">
        <f>IF(ISNUMBER(BL33/BM33),BL33/BM33," - ")</f>
        <v xml:space="preserve"> - </v>
      </c>
      <c r="BK33" s="713"/>
      <c r="BL33" s="685">
        <f>IF(ISNUMBER(STDEV(BL8:BL30)),STDEV(BL8:BL30),"-")</f>
        <v>0.22962053859969048</v>
      </c>
      <c r="BM33" s="686"/>
      <c r="BN33" s="731"/>
      <c r="BO33" s="731"/>
      <c r="BP33" s="687">
        <f>IF(ISNUMBER(STDEV(BP8:BP30)),STDEV(BP8:BP30),"-")</f>
        <v>0</v>
      </c>
      <c r="BQ33" s="687"/>
      <c r="BR33" s="688">
        <f>IF(ISNUMBER(STDEV(BR8:BR30)),STDEV(BR8:BR30),"-")</f>
        <v>0</v>
      </c>
      <c r="BS33" s="689">
        <f>IF(ISNUMBER(STDEV(BS8:BS30)),STDEV(BS8:BS30),"-")</f>
        <v>0</v>
      </c>
      <c r="BT33" s="1482">
        <f>IF(ISNUMBER(STDEV(BT8:BT30)),STDEV(BT8:BT30),"-")</f>
        <v>615.17955923221598</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25 nov. 2021</v>
      </c>
    </row>
    <row r="44" spans="1:72">
      <c r="C44" s="649"/>
      <c r="D44" s="650"/>
    </row>
  </sheetData>
  <sheetProtection algorithmName="SHA-512" hashValue="M5smYd4sdtzmvP6qaeOaEOd4d3RNUW7ljoBLdr0oEDtTB0d9KYgJ+rD1bO8J4EX0R6YmHdO5hcBdkoNLAd6Q8w==" saltValue="85K+9gvA0VbIr1l2qbEZF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ANDALUCIA</v>
      </c>
    </row>
    <row r="2" spans="1:72" ht="16.5" customHeight="1">
      <c r="C2" s="651" t="str">
        <f>Criterios!A10 &amp;"  "&amp;Criterios!B10 &amp; "  " &amp; IF(NOT(ISBLANK(Criterios!A11)),Criterios!A11 &amp;"  "&amp;Criterios!B11,"")</f>
        <v>Provincias  MALAGA  Resumenes por Partidos Judiciales  MELILLA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39" t="s">
        <v>458</v>
      </c>
      <c r="B5" s="297"/>
      <c r="C5" s="1885" t="str">
        <f>"Año:  " &amp;Criterios!B$5 &amp; "          Trimestre   " &amp;Criterios!D$5 &amp; " al " &amp;Criterios!D$6</f>
        <v>Año:  2021          Trimestre   3 al 3</v>
      </c>
      <c r="D5" s="1887" t="s">
        <v>484</v>
      </c>
      <c r="E5" s="1844" t="s">
        <v>742</v>
      </c>
      <c r="F5" s="1882" t="s">
        <v>520</v>
      </c>
      <c r="G5" s="1844" t="s">
        <v>168</v>
      </c>
      <c r="H5" s="1844" t="s">
        <v>775</v>
      </c>
      <c r="I5" s="1844" t="s">
        <v>743</v>
      </c>
      <c r="J5" s="1844" t="s">
        <v>880</v>
      </c>
      <c r="K5" s="1844" t="s">
        <v>744</v>
      </c>
      <c r="L5" s="1844" t="s">
        <v>773</v>
      </c>
      <c r="M5" s="1844" t="s">
        <v>882</v>
      </c>
      <c r="N5" s="1844" t="s">
        <v>770</v>
      </c>
      <c r="O5" s="1844" t="s">
        <v>804</v>
      </c>
      <c r="P5" s="1877" t="s">
        <v>872</v>
      </c>
      <c r="Q5" s="1877" t="s">
        <v>875</v>
      </c>
      <c r="R5" s="1844" t="s">
        <v>779</v>
      </c>
      <c r="S5" s="1844" t="s">
        <v>745</v>
      </c>
      <c r="T5" s="1844" t="s">
        <v>1035</v>
      </c>
      <c r="U5" s="1844" t="s">
        <v>1036</v>
      </c>
      <c r="V5" s="1856" t="s">
        <v>863</v>
      </c>
      <c r="W5" s="1847" t="s">
        <v>759</v>
      </c>
      <c r="X5" s="1850" t="s">
        <v>760</v>
      </c>
      <c r="Y5" s="1853" t="s">
        <v>780</v>
      </c>
      <c r="Z5" s="1853" t="s">
        <v>805</v>
      </c>
      <c r="AA5" s="1844" t="s">
        <v>749</v>
      </c>
      <c r="AB5" s="1844" t="s">
        <v>761</v>
      </c>
      <c r="AC5" s="1844" t="s">
        <v>762</v>
      </c>
      <c r="AD5" s="1844" t="s">
        <v>702</v>
      </c>
      <c r="AE5" s="1844" t="s">
        <v>883</v>
      </c>
      <c r="AF5" s="1844" t="s">
        <v>238</v>
      </c>
      <c r="AG5" s="1844" t="s">
        <v>763</v>
      </c>
      <c r="AH5" s="1844" t="s">
        <v>750</v>
      </c>
      <c r="AI5" s="1844" t="s">
        <v>751</v>
      </c>
      <c r="AJ5" s="1844" t="s">
        <v>764</v>
      </c>
      <c r="AK5" s="1844" t="s">
        <v>765</v>
      </c>
      <c r="AL5" s="1844" t="s">
        <v>766</v>
      </c>
      <c r="AM5" s="1868" t="s">
        <v>767</v>
      </c>
      <c r="AN5" s="1844" t="s">
        <v>317</v>
      </c>
      <c r="AO5" s="1844" t="s">
        <v>753</v>
      </c>
      <c r="AP5" s="1844" t="s">
        <v>754</v>
      </c>
      <c r="AQ5" s="1844" t="s">
        <v>781</v>
      </c>
      <c r="AR5" s="1844" t="s">
        <v>782</v>
      </c>
      <c r="AS5" s="1844" t="s">
        <v>784</v>
      </c>
      <c r="AT5" s="1844" t="s">
        <v>777</v>
      </c>
      <c r="AU5" s="1844" t="s">
        <v>429</v>
      </c>
      <c r="AV5" s="1844" t="s">
        <v>768</v>
      </c>
      <c r="AW5" s="1844" t="s">
        <v>707</v>
      </c>
      <c r="BT5" s="1844" t="s">
        <v>1037</v>
      </c>
    </row>
    <row r="6" spans="1:72" ht="21.75" customHeight="1">
      <c r="A6" s="1640"/>
      <c r="B6" s="298"/>
      <c r="C6" s="1886"/>
      <c r="D6" s="1888"/>
      <c r="E6" s="1845"/>
      <c r="F6" s="1883"/>
      <c r="G6" s="1845"/>
      <c r="H6" s="1845"/>
      <c r="I6" s="1845"/>
      <c r="J6" s="1845"/>
      <c r="K6" s="1845"/>
      <c r="L6" s="1845"/>
      <c r="M6" s="1845"/>
      <c r="N6" s="1845"/>
      <c r="O6" s="1845"/>
      <c r="P6" s="1878"/>
      <c r="Q6" s="1878"/>
      <c r="R6" s="1845"/>
      <c r="S6" s="1845"/>
      <c r="T6" s="1845"/>
      <c r="U6" s="1845"/>
      <c r="V6" s="1857"/>
      <c r="W6" s="1848"/>
      <c r="X6" s="1851"/>
      <c r="Y6" s="1854"/>
      <c r="Z6" s="1854"/>
      <c r="AA6" s="1845"/>
      <c r="AB6" s="1845"/>
      <c r="AC6" s="1845"/>
      <c r="AD6" s="1845"/>
      <c r="AE6" s="1845"/>
      <c r="AF6" s="1845"/>
      <c r="AG6" s="1845"/>
      <c r="AH6" s="1845"/>
      <c r="AI6" s="1845"/>
      <c r="AJ6" s="1845"/>
      <c r="AK6" s="1845"/>
      <c r="AL6" s="1845"/>
      <c r="AM6" s="1869"/>
      <c r="AN6" s="1845"/>
      <c r="AO6" s="1845"/>
      <c r="AP6" s="1845"/>
      <c r="AQ6" s="1845"/>
      <c r="AR6" s="1845"/>
      <c r="AS6" s="1845"/>
      <c r="AT6" s="1845"/>
      <c r="AU6" s="1845"/>
      <c r="AV6" s="1845"/>
      <c r="AW6" s="1845"/>
      <c r="BT6" s="1845"/>
    </row>
    <row r="7" spans="1:72" ht="38.25" customHeight="1" thickBot="1">
      <c r="A7" s="1641"/>
      <c r="B7" s="299"/>
      <c r="C7" s="652" t="str">
        <f>Datos!A7</f>
        <v>COMPETENCIAS</v>
      </c>
      <c r="D7" s="1889"/>
      <c r="E7" s="1846"/>
      <c r="F7" s="1884"/>
      <c r="G7" s="1846"/>
      <c r="H7" s="1846"/>
      <c r="I7" s="1846"/>
      <c r="J7" s="1846"/>
      <c r="K7" s="1846"/>
      <c r="L7" s="1846"/>
      <c r="M7" s="1846"/>
      <c r="N7" s="1846"/>
      <c r="O7" s="1846"/>
      <c r="P7" s="1879"/>
      <c r="Q7" s="1879"/>
      <c r="R7" s="1846"/>
      <c r="S7" s="1846"/>
      <c r="T7" s="1846"/>
      <c r="U7" s="1846"/>
      <c r="V7" s="1858"/>
      <c r="W7" s="1849"/>
      <c r="X7" s="1852"/>
      <c r="Y7" s="1855"/>
      <c r="Z7" s="1855"/>
      <c r="AA7" s="1846"/>
      <c r="AB7" s="1846"/>
      <c r="AC7" s="1846"/>
      <c r="AD7" s="1846"/>
      <c r="AE7" s="1846"/>
      <c r="AF7" s="1846"/>
      <c r="AG7" s="1846"/>
      <c r="AH7" s="1846"/>
      <c r="AI7" s="1846"/>
      <c r="AJ7" s="1846"/>
      <c r="AK7" s="1846"/>
      <c r="AL7" s="1846"/>
      <c r="AM7" s="1870"/>
      <c r="AN7" s="1846"/>
      <c r="AO7" s="1846"/>
      <c r="AP7" s="1846"/>
      <c r="AQ7" s="1846"/>
      <c r="AR7" s="1846"/>
      <c r="AS7" s="1846"/>
      <c r="AT7" s="1846"/>
      <c r="AU7" s="1846"/>
      <c r="AV7" s="1846"/>
      <c r="AW7" s="1846"/>
      <c r="BT7" s="1846"/>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783</v>
      </c>
      <c r="B9" s="749" t="s">
        <v>314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218.18181818181819</v>
      </c>
    </row>
    <row r="10" spans="1:72" s="582" customFormat="1" ht="14.25">
      <c r="A10" s="749">
        <f>Datos!AO10</f>
        <v>1</v>
      </c>
      <c r="B10" s="750" t="s">
        <v>314</v>
      </c>
      <c r="C10" s="751" t="str">
        <f>Datos!A10</f>
        <v>Jdos. Violencia contra la mujer</v>
      </c>
      <c r="D10" s="605"/>
      <c r="E10" s="752">
        <f>IF(ISNUMBER(Datos!AQ10),Datos!AQ10," - ")</f>
        <v>0</v>
      </c>
      <c r="F10" s="556">
        <f>IF(ISNUMBER(Datos!L10+Datos!K10-Datos!J10),Datos!L10+Datos!K10-Datos!J10," - ")</f>
        <v>41</v>
      </c>
      <c r="G10" s="556">
        <f>IF(ISNUMBER(Datos!I10),Datos!I10," - ")</f>
        <v>41</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14</v>
      </c>
      <c r="Z10" s="810">
        <f>IF(ISNUMBER(Datos!Q10),Datos!Q10," - ")</f>
        <v>0</v>
      </c>
      <c r="AA10" s="555">
        <f>IF(ISNUMBER(Datos!L10),Datos!L10,"-")</f>
        <v>36</v>
      </c>
      <c r="AB10" s="553"/>
      <c r="AC10" s="553"/>
      <c r="AD10" s="567"/>
      <c r="AE10" s="567">
        <f>IF(ISNUMBER(Datos!R10),Datos!R10," - ")</f>
        <v>0</v>
      </c>
      <c r="AF10" s="697" t="str">
        <f>IF(ISNUMBER(Datos!BV10),Datos!BV10," - ")</f>
        <v xml:space="preserve"> - </v>
      </c>
      <c r="AG10" s="556" t="str">
        <f>IF(ISNUMBER(Datos!DV10),Datos!DV10," - ")</f>
        <v xml:space="preserve"> - </v>
      </c>
      <c r="AH10" s="557"/>
      <c r="AI10" s="558"/>
      <c r="AJ10" s="556">
        <f>IF(ISNUMBER(Datos!M10),Datos!M10," - ")</f>
        <v>6</v>
      </c>
      <c r="AK10" s="697">
        <f>IF(ISNUMBER(Datos!N10),Datos!N10," - ")</f>
        <v>4</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5.1428571428571432</v>
      </c>
      <c r="AP10" s="559" t="str">
        <f>IF(ISNUMBER(Datos!CI10/Datos!CJ10),Datos!CI10/Datos!CJ10," - ")</f>
        <v xml:space="preserve"> - </v>
      </c>
      <c r="AQ10" s="559" t="str">
        <f>IF(ISNUMBER((I10-Y10+K10)/(F10)),(I10-Y10+K10)/(F10)," - ")</f>
        <v xml:space="preserve"> - </v>
      </c>
      <c r="AR10" s="559" t="str">
        <f>IF(ISNUMBER((Datos!P10-Datos!Q10+Datos!DE10)/(Datos!R10-Datos!P10+Datos!Q10-Datos!DE10)),(Datos!P10-Datos!Q10+Datos!DE10)/(Datos!R10-Datos!P10+Datos!Q10-Datos!DE10)," - ")</f>
        <v xml:space="preserve"> - </v>
      </c>
      <c r="AS10" s="753"/>
      <c r="AT10" s="753"/>
      <c r="AU10" s="721" t="str">
        <f>IF(ISNUMBER(Datos!CW10),Datos!CW10," - ")</f>
        <v xml:space="preserve"> - </v>
      </c>
      <c r="AV10" s="721">
        <f>Datos!CX10</f>
        <v>0</v>
      </c>
      <c r="AW10" s="826">
        <f>Datos!DU10</f>
        <v>0</v>
      </c>
      <c r="BT10" s="1382">
        <f>Datos!ER10/factor_trimestre</f>
        <v>290.90909090909093</v>
      </c>
    </row>
    <row r="11" spans="1:72" s="582" customFormat="1" ht="14.25">
      <c r="A11" s="749">
        <f>Datos!AO11</f>
        <v>0</v>
      </c>
      <c r="B11" s="750" t="s">
        <v>314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240.54545454545453</v>
      </c>
    </row>
    <row r="12" spans="1:72" s="582" customFormat="1" ht="14.25">
      <c r="A12" s="749">
        <f>Datos!AO12</f>
        <v>5</v>
      </c>
      <c r="B12" s="750" t="s">
        <v>314</v>
      </c>
      <c r="C12" s="751" t="str">
        <f>Datos!A12</f>
        <v xml:space="preserve">Jdos. 1ª Instª. e Instr.                        </v>
      </c>
      <c r="D12" s="605"/>
      <c r="E12" s="752">
        <f>IF(ISNUMBER(Datos!AQ12),Datos!AQ12," - ")</f>
        <v>5</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167</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306</v>
      </c>
      <c r="AA12" s="555" t="str">
        <f>IF(ISNUMBER(IF(J_V="SI",Datos!L12,Datos!L12+Datos!AB12)-IF(Monitorios="SI",Datos!CD12,0)),
                          IF(J_V="SI",Datos!L12,Datos!L12+Datos!AB12)-IF(Monitorios="SI",Datos!CD12,0),
                          " - ")</f>
        <v xml:space="preserve"> - </v>
      </c>
      <c r="AB12" s="553"/>
      <c r="AC12" s="553"/>
      <c r="AD12" s="567"/>
      <c r="AE12" s="567">
        <f>IF(ISNUMBER(Datos!R12),Datos!R12," - ")</f>
        <v>3351</v>
      </c>
      <c r="AF12" s="697" t="str">
        <f>IF(ISNUMBER(Datos!BV12),Datos!BV12," - ")</f>
        <v xml:space="preserve"> - </v>
      </c>
      <c r="AG12" s="556" t="str">
        <f>IF(ISNUMBER(Datos!DV12),Datos!DV12," - ")</f>
        <v xml:space="preserve"> - </v>
      </c>
      <c r="AH12" s="557"/>
      <c r="AI12" s="558"/>
      <c r="AJ12" s="556">
        <f>IF(ISNUMBER(Datos!M12),Datos!M12," - ")</f>
        <v>87</v>
      </c>
      <c r="AK12" s="697">
        <f>IF(ISNUMBER(Datos!N12),Datos!N12," - ")</f>
        <v>168</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5.511737089201878</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-3.9828080229226362E-2</v>
      </c>
      <c r="AS12" s="753"/>
      <c r="AT12" s="753"/>
      <c r="AU12" s="721" t="str">
        <f>IF(ISNUMBER(Datos!CW12),Datos!CW12," - ")</f>
        <v xml:space="preserve"> - </v>
      </c>
      <c r="AV12" s="721">
        <f>Datos!CX12</f>
        <v>0</v>
      </c>
      <c r="AW12" s="826">
        <f>Datos!DU12</f>
        <v>0</v>
      </c>
      <c r="BT12" s="1382">
        <f>Datos!ER12/factor_trimestre</f>
        <v>123.63636363636364</v>
      </c>
    </row>
    <row r="13" spans="1:72" s="582" customFormat="1" ht="15" thickBot="1">
      <c r="A13" s="749">
        <f>Datos!AO13</f>
        <v>1</v>
      </c>
      <c r="B13" s="750" t="s">
        <v>314</v>
      </c>
      <c r="C13" s="751" t="str">
        <f>Datos!A13</f>
        <v xml:space="preserve">Jdos. de Menores    </v>
      </c>
      <c r="D13" s="605"/>
      <c r="E13" s="752">
        <f>IF(ISNUMBER(Datos!AQ13),Datos!AQ13," - ")</f>
        <v>1</v>
      </c>
      <c r="F13" s="556">
        <f>IF(ISNUMBER(Datos!L13+Datos!K13-Datos!J13),Datos!L13+Datos!K13-Datos!J13," - ")</f>
        <v>0</v>
      </c>
      <c r="G13" s="556">
        <f>IF(ISNUMBER(Datos!I13),Datos!I13," - ")</f>
        <v>0</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f>IF(ISNUMBER(Datos!K13),Datos!K13," - ")</f>
        <v>0</v>
      </c>
      <c r="Z13" s="810">
        <f>IF(ISNUMBER(Datos!Q13),Datos!Q13," - ")</f>
        <v>0</v>
      </c>
      <c r="AA13" s="555">
        <f>IF(ISNUMBER(Datos!L13),Datos!L13,"-")</f>
        <v>0</v>
      </c>
      <c r="AB13" s="553"/>
      <c r="AC13" s="553"/>
      <c r="AD13" s="567"/>
      <c r="AE13" s="567">
        <f>IF(ISNUMBER(Datos!R13),Datos!R13," - ")</f>
        <v>0</v>
      </c>
      <c r="AF13" s="697" t="str">
        <f>IF(ISNUMBER(Datos!BV13),Datos!BV13," - ")</f>
        <v xml:space="preserve"> - </v>
      </c>
      <c r="AG13" s="556" t="str">
        <f>IF(ISNUMBER(Datos!DV13),Datos!DV13," - ")</f>
        <v xml:space="preserve"> - </v>
      </c>
      <c r="AH13" s="557"/>
      <c r="AI13" s="558"/>
      <c r="AJ13" s="556">
        <f>IF(ISNUMBER(Datos!M13),Datos!M13," - ")</f>
        <v>0</v>
      </c>
      <c r="AK13" s="697">
        <f>IF(ISNUMBER(Datos!N13),Datos!N13," - ")</f>
        <v>3</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159.09090909090909</v>
      </c>
    </row>
    <row r="14" spans="1:72" ht="15.75" thickTop="1" thickBot="1">
      <c r="A14" s="191"/>
      <c r="B14" s="191"/>
      <c r="C14" s="1163" t="str">
        <f>Datos!A14</f>
        <v>TOTAL</v>
      </c>
      <c r="D14" s="1163"/>
      <c r="E14" s="1200">
        <f>SUBTOTAL(9,E8:E13)</f>
        <v>6</v>
      </c>
      <c r="F14" s="1200">
        <f>SUBTOTAL(9,F8:F13)</f>
        <v>41</v>
      </c>
      <c r="G14" s="1200">
        <f>SUBTOTAL(9,G8:G13)</f>
        <v>41</v>
      </c>
      <c r="H14" s="1214"/>
      <c r="I14" s="1200">
        <f t="shared" ref="I14:N14" si="1">SUBTOTAL(9,I8:I13)</f>
        <v>0</v>
      </c>
      <c r="J14" s="1167">
        <f t="shared" si="1"/>
        <v>0</v>
      </c>
      <c r="K14" s="1214">
        <f t="shared" si="1"/>
        <v>0</v>
      </c>
      <c r="L14" s="1214">
        <f t="shared" si="1"/>
        <v>0</v>
      </c>
      <c r="M14" s="1214">
        <f t="shared" si="1"/>
        <v>0</v>
      </c>
      <c r="N14" s="1214">
        <f t="shared" si="1"/>
        <v>167</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14</v>
      </c>
      <c r="Z14" s="1213">
        <f t="shared" si="3"/>
        <v>306</v>
      </c>
      <c r="AA14" s="1202">
        <f t="shared" si="3"/>
        <v>36</v>
      </c>
      <c r="AB14" s="1202">
        <f t="shared" si="3"/>
        <v>0</v>
      </c>
      <c r="AC14" s="1202">
        <f t="shared" si="3"/>
        <v>0</v>
      </c>
      <c r="AD14" s="1202">
        <f t="shared" si="3"/>
        <v>0</v>
      </c>
      <c r="AE14" s="1202">
        <f t="shared" si="3"/>
        <v>3351</v>
      </c>
      <c r="AF14" s="1214">
        <f t="shared" si="3"/>
        <v>0</v>
      </c>
      <c r="AG14" s="1214">
        <f t="shared" si="3"/>
        <v>0</v>
      </c>
      <c r="AH14" s="1214">
        <f t="shared" si="3"/>
        <v>0</v>
      </c>
      <c r="AI14" s="1214">
        <f t="shared" si="3"/>
        <v>0</v>
      </c>
      <c r="AJ14" s="1214">
        <f t="shared" si="3"/>
        <v>93</v>
      </c>
      <c r="AK14" s="1214">
        <f t="shared" si="3"/>
        <v>175</v>
      </c>
      <c r="AL14" s="1214">
        <f t="shared" si="3"/>
        <v>0</v>
      </c>
      <c r="AM14" s="1214">
        <f t="shared" si="3"/>
        <v>0</v>
      </c>
      <c r="AN14" s="1214">
        <f t="shared" si="3"/>
        <v>0</v>
      </c>
      <c r="AO14" s="1206">
        <f>IF(ISNUMBER(((NºAsuntos!I14/NºAsuntos!G14)*11)/factor_trimestre),((NºAsuntos!I14/NºAsuntos!G14)*11)/factor_trimestre," - ")</f>
        <v>5.5038284839203673</v>
      </c>
      <c r="AP14" s="1216" t="str">
        <f>IF(ISNUMBER(Datos!CI14/Datos!CJ14),Datos!CI14/Datos!CJ14," - ")</f>
        <v xml:space="preserve"> - </v>
      </c>
      <c r="AQ14" s="1240">
        <f>SUBTOTAL(9,AQ9:AQ13)</f>
        <v>0</v>
      </c>
      <c r="AR14" s="1240">
        <f>SUBTOTAL(9,AR9:AR13)</f>
        <v>-3.9828080229226362E-2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504</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600</v>
      </c>
    </row>
    <row r="17" spans="1:72" s="582" customFormat="1" ht="14.25">
      <c r="A17" s="749">
        <f>Datos!AO17</f>
        <v>5</v>
      </c>
      <c r="B17" s="750" t="s">
        <v>504</v>
      </c>
      <c r="C17" s="770" t="str">
        <f>Datos!A17</f>
        <v xml:space="preserve">Jdos. 1ª Instª. e Instr.                        </v>
      </c>
      <c r="D17" s="597"/>
      <c r="E17" s="752">
        <f>IF(ISNUMBER(Datos!AQ17),Datos!AQ17," - ")</f>
        <v>5</v>
      </c>
      <c r="F17" s="547">
        <f>IF(ISNUMBER(AA17+Y17-Datos!J17-K16),AA17+Y17-Datos!J17-K16," - ")</f>
        <v>1920</v>
      </c>
      <c r="G17" s="556">
        <f>IF(ISNUMBER(IF(D_I="SI",Datos!I17,Datos!I17+Datos!AC17)),IF(D_I="SI",Datos!I17,Datos!I17+Datos!AC17)," - ")</f>
        <v>1914</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22</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1305</v>
      </c>
      <c r="Z17" s="810">
        <f>IF(ISNUMBER(Datos!Q17),Datos!Q17," - ")</f>
        <v>96</v>
      </c>
      <c r="AA17" s="555">
        <f>IF(ISNUMBER(IF(D_I="SI",Datos!L17,Datos!L17+Datos!AF17)),IF(D_I="SI",Datos!L17,Datos!L17+Datos!AF17)," - ")</f>
        <v>1919</v>
      </c>
      <c r="AB17" s="553"/>
      <c r="AC17" s="553"/>
      <c r="AD17" s="567"/>
      <c r="AE17" s="567">
        <f>IF(ISNUMBER(Datos!R17),Datos!R17," - ")</f>
        <v>160</v>
      </c>
      <c r="AF17" s="697" t="str">
        <f>IF(ISNUMBER(Datos!BV17),Datos!BV17," - ")</f>
        <v xml:space="preserve"> - </v>
      </c>
      <c r="AG17" s="556"/>
      <c r="AH17" s="557"/>
      <c r="AI17" s="558"/>
      <c r="AJ17" s="556">
        <f>IF(ISNUMBER(Datos!M17),Datos!M17," - ")</f>
        <v>170</v>
      </c>
      <c r="AK17" s="697">
        <f>IF(ISNUMBER(Datos!N17),Datos!N17," - ")</f>
        <v>790</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2.9409961685823749</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181.81818181818181</v>
      </c>
    </row>
    <row r="18" spans="1:72" s="582" customFormat="1" ht="14.25">
      <c r="A18" s="749">
        <f>Datos!AO18</f>
        <v>1</v>
      </c>
      <c r="B18" s="750" t="s">
        <v>504</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80</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144</v>
      </c>
      <c r="Z18" s="810">
        <f>IF(ISNUMBER(Datos!Q18),Datos!Q18," - ")</f>
        <v>0</v>
      </c>
      <c r="AA18" s="555">
        <f>IF(ISNUMBER(Datos!L18),Datos!L18,"-")</f>
        <v>82</v>
      </c>
      <c r="AB18" s="553"/>
      <c r="AC18" s="553"/>
      <c r="AD18" s="567"/>
      <c r="AE18" s="567">
        <f>IF(ISNUMBER(Datos!R18),Datos!R18," - ")</f>
        <v>9</v>
      </c>
      <c r="AF18" s="697" t="str">
        <f>IF(ISNUMBER(Datos!BV18),Datos!BV18," - ")</f>
        <v xml:space="preserve"> - </v>
      </c>
      <c r="AG18" s="556" t="str">
        <f>IF(ISNUMBER(Datos!DV18),Datos!DV18," - ")</f>
        <v xml:space="preserve"> - </v>
      </c>
      <c r="AH18" s="557"/>
      <c r="AI18" s="558"/>
      <c r="AJ18" s="556">
        <f>IF(ISNUMBER(Datos!M18),Datos!M18," - ")</f>
        <v>13</v>
      </c>
      <c r="AK18" s="697">
        <f>IF(ISNUMBER(Datos!N18),Datos!N18," - ")</f>
        <v>93</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1.1388888888888888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290.90909090909093</v>
      </c>
    </row>
    <row r="19" spans="1:72" s="582" customFormat="1" ht="14.25">
      <c r="A19" s="749">
        <f>Datos!AO19</f>
        <v>1</v>
      </c>
      <c r="B19" s="750" t="s">
        <v>504</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f>IF(ISNUMBER((Datos!P19-Datos!Q19+O19)/(Datos!R19-Datos!P19+Datos!Q19-O19)),(Datos!P19-Datos!Q19+O19)/(Datos!R19-Datos!P19+Datos!Q19-O19)," - ")</f>
        <v>-1.4423076923076924E-2</v>
      </c>
      <c r="AS19" s="753"/>
      <c r="AT19" s="721" t="str">
        <f>IF(ISNUMBER(Datos!EI19),Datos!EI19," - ")</f>
        <v xml:space="preserve"> - </v>
      </c>
      <c r="AU19" s="721"/>
      <c r="AV19" s="721"/>
      <c r="AW19" s="568"/>
      <c r="BT19" s="1382">
        <f>Datos!ER19/factor_trimestre</f>
        <v>159.09090909090909</v>
      </c>
    </row>
    <row r="20" spans="1:72" s="582" customFormat="1" ht="14.25">
      <c r="A20" s="749">
        <f>Datos!AO20</f>
        <v>0</v>
      </c>
      <c r="B20" s="750" t="s">
        <v>504</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952.72727272727275</v>
      </c>
    </row>
    <row r="21" spans="1:72" s="582" customFormat="1" ht="14.25">
      <c r="A21" s="749">
        <f>Datos!AO21</f>
        <v>2</v>
      </c>
      <c r="B21" s="750" t="s">
        <v>504</v>
      </c>
      <c r="C21" s="751" t="str">
        <f>Datos!A21</f>
        <v xml:space="preserve">Jdos. de lo Penal                               </v>
      </c>
      <c r="D21" s="605"/>
      <c r="E21" s="752">
        <f>IF(ISNUMBER(Datos!AQ21),Datos!AQ21," - ")</f>
        <v>2</v>
      </c>
      <c r="F21" s="556">
        <f>IF(ISNUMBER(Datos!L21+Datos!K21-Datos!J21),Datos!L21+Datos!K21-Datos!J21," - ")</f>
        <v>600</v>
      </c>
      <c r="G21" s="556">
        <f>IF(ISNUMBER(Datos!I21),Datos!I21," - ")</f>
        <v>600</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174</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175</v>
      </c>
      <c r="Z21" s="810">
        <f>IF(ISNUMBER(Datos!Q21),Datos!Q21," - ")</f>
        <v>431</v>
      </c>
      <c r="AA21" s="555">
        <f>IF(ISNUMBER(Datos!L21),Datos!L21,"-")</f>
        <v>571</v>
      </c>
      <c r="AB21" s="553"/>
      <c r="AC21" s="553"/>
      <c r="AD21" s="567"/>
      <c r="AE21" s="567">
        <f>IF(ISNUMBER(Datos!R21),Datos!R21," - ")</f>
        <v>928</v>
      </c>
      <c r="AF21" s="697" t="str">
        <f>IF(ISNUMBER(Datos!BV21),Datos!BV21," - ")</f>
        <v xml:space="preserve"> - </v>
      </c>
      <c r="AG21" s="556"/>
      <c r="AH21" s="557"/>
      <c r="AI21" s="558"/>
      <c r="AJ21" s="556">
        <f>IF(ISNUMBER(Datos!M21),Datos!M21," - ")</f>
        <v>143</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6.5257142857142858</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72.727272727272734</v>
      </c>
    </row>
    <row r="22" spans="1:72" s="582" customFormat="1" ht="15" thickBot="1">
      <c r="A22" s="749">
        <f>Datos!AO22</f>
        <v>0</v>
      </c>
      <c r="B22" s="750" t="s">
        <v>504</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436.36363636363637</v>
      </c>
    </row>
    <row r="23" spans="1:72" ht="15.75" thickTop="1" thickBot="1">
      <c r="A23" s="191"/>
      <c r="B23" s="191"/>
      <c r="C23" s="1163" t="str">
        <f>Datos!A23</f>
        <v>TOTAL</v>
      </c>
      <c r="D23" s="1163"/>
      <c r="E23" s="1244">
        <f>SUBTOTAL(9,E16:E22)</f>
        <v>7</v>
      </c>
      <c r="F23" s="1200">
        <f>SUBTOTAL(9,F16:F22)</f>
        <v>2520</v>
      </c>
      <c r="G23" s="1200">
        <f>SUBTOTAL(9,G16:G22)</f>
        <v>2594</v>
      </c>
      <c r="H23" s="1245">
        <f>SUBTOTAL(9,H16:H22)</f>
        <v>0</v>
      </c>
      <c r="I23" s="1220">
        <f>SUBTOTAL(9,I16:I22)</f>
        <v>0</v>
      </c>
      <c r="J23" s="1167">
        <f>SUBTOTAL(9,J15:J22)</f>
        <v>0</v>
      </c>
      <c r="K23" s="1245">
        <f t="shared" ref="K23:S23" si="4">SUBTOTAL(9,K16:K22)</f>
        <v>0</v>
      </c>
      <c r="L23" s="1245">
        <f t="shared" si="4"/>
        <v>0</v>
      </c>
      <c r="M23" s="1245">
        <f t="shared" si="4"/>
        <v>0</v>
      </c>
      <c r="N23" s="1245">
        <f t="shared" si="4"/>
        <v>196</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1624</v>
      </c>
      <c r="Z23" s="1245">
        <f t="shared" si="5"/>
        <v>527</v>
      </c>
      <c r="AA23" s="1245">
        <f t="shared" si="5"/>
        <v>2572</v>
      </c>
      <c r="AB23" s="1245">
        <f t="shared" si="5"/>
        <v>0</v>
      </c>
      <c r="AC23" s="1245">
        <f t="shared" si="5"/>
        <v>0</v>
      </c>
      <c r="AD23" s="1245">
        <f t="shared" si="5"/>
        <v>0</v>
      </c>
      <c r="AE23" s="1245">
        <f t="shared" si="5"/>
        <v>1097</v>
      </c>
      <c r="AF23" s="1245">
        <f t="shared" si="5"/>
        <v>0</v>
      </c>
      <c r="AG23" s="1245">
        <f t="shared" si="5"/>
        <v>0</v>
      </c>
      <c r="AH23" s="1245">
        <f t="shared" si="5"/>
        <v>0</v>
      </c>
      <c r="AI23" s="1245">
        <f t="shared" si="5"/>
        <v>0</v>
      </c>
      <c r="AJ23" s="1245">
        <f t="shared" si="5"/>
        <v>326</v>
      </c>
      <c r="AK23" s="1245">
        <f t="shared" si="5"/>
        <v>883</v>
      </c>
      <c r="AL23" s="1245">
        <f t="shared" si="5"/>
        <v>0</v>
      </c>
      <c r="AM23" s="1245">
        <f t="shared" si="5"/>
        <v>0</v>
      </c>
      <c r="AN23" s="1245">
        <f t="shared" si="5"/>
        <v>0</v>
      </c>
      <c r="AO23" s="1247">
        <f>IF(ISNUMBER(((NºAsuntos!I23/NºAsuntos!G23)*11)/factor_trimestre),((NºAsuntos!I23/NºAsuntos!G23)*11)/factor_trimestre," - ")</f>
        <v>3.0441724321447579</v>
      </c>
      <c r="AP23" s="1242" t="str">
        <f>IF(ISNUMBER(Datos!CI23/Datos!CJ23),Datos!CI23/Datos!CJ23," - ")</f>
        <v xml:space="preserve"> - </v>
      </c>
      <c r="AQ23" s="1248">
        <f>SUBTOTAL(9,AQ16:AQ22)</f>
        <v>0</v>
      </c>
      <c r="AR23" s="1248">
        <f>SUBTOTAL(9,AR16:AR22)</f>
        <v>-1.4423076923076924E-2</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3</v>
      </c>
      <c r="B25" s="604" t="s">
        <v>505</v>
      </c>
      <c r="C25" s="7" t="str">
        <f>Datos!A25</f>
        <v xml:space="preserve">Jdos Cont.-Admvo.                               </v>
      </c>
      <c r="D25" s="566"/>
      <c r="E25" s="721">
        <f>IF(ISNUMBER(Datos!AQ25),Datos!AQ25," - ")</f>
        <v>3</v>
      </c>
      <c r="F25" s="556">
        <f>IF(ISNUMBER(Datos!L25+Datos!K25-Datos!J25),Datos!L25+Datos!K25-Datos!J25," - ")</f>
        <v>502</v>
      </c>
      <c r="G25" s="556">
        <f>IF(ISNUMBER(Datos!I25),Datos!I25," - ")</f>
        <v>496</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f>IF(ISNUMBER(Datos!L25),Datos!L25,"-")</f>
        <v>419</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f>IF(ISNUMBER(Datos!M25),Datos!M25," - ")</f>
        <v>109</v>
      </c>
      <c r="AK25" s="245">
        <f>IF(ISNUMBER(Datos!N25),Datos!N25," - ")</f>
        <v>112</v>
      </c>
      <c r="AL25" s="245" t="str">
        <f>IF(ISNUMBER(Datos!BW25),Datos!BW25," - ")</f>
        <v xml:space="preserve"> - </v>
      </c>
      <c r="AM25" s="246" t="str">
        <f>IF(ISNUMBER(Datos!BX25),Datos!BX25," - ")</f>
        <v xml:space="preserve"> - </v>
      </c>
      <c r="AN25" s="405">
        <f>IF(ISNUMBER(Datos!K25/Datos!J25),Datos!K25/Datos!J25," - ")</f>
        <v>1.6014492753623188</v>
      </c>
      <c r="AO25" s="406">
        <f>IF(ISNUMBER(((Datos!L25/Datos!K25)*11)/factor_trimestre),((Datos!L25/Datos!K25)*11)/factor_trimestre," - ")</f>
        <v>3.7918552036199098</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103.63636363636364</v>
      </c>
    </row>
    <row r="26" spans="1:72" ht="15.75" thickTop="1" thickBot="1">
      <c r="A26" s="191"/>
      <c r="B26" s="191"/>
      <c r="C26" s="1163" t="str">
        <f>Datos!A26</f>
        <v>TOTAL</v>
      </c>
      <c r="D26" s="1163"/>
      <c r="E26" s="1200">
        <f t="shared" ref="E26:S26" si="6">SUBTOTAL(9,E25:E25)</f>
        <v>3</v>
      </c>
      <c r="F26" s="1200">
        <f t="shared" si="6"/>
        <v>502</v>
      </c>
      <c r="G26" s="1200">
        <f t="shared" si="6"/>
        <v>496</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419</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109</v>
      </c>
      <c r="AK26" s="1255">
        <f t="shared" si="7"/>
        <v>112</v>
      </c>
      <c r="AL26" s="1221">
        <f t="shared" si="7"/>
        <v>0</v>
      </c>
      <c r="AM26" s="1257">
        <f t="shared" si="7"/>
        <v>0</v>
      </c>
      <c r="AN26" s="1222">
        <f>IF(ISNUMBER(Datos!K26/Datos!J26),Datos!K26/Datos!J26," - ")</f>
        <v>1.6014492753623188</v>
      </c>
      <c r="AO26" s="1222">
        <f>IF(ISNUMBER(((Datos!L26/Datos!K26)*11)/factor_trimestre),((Datos!L26/Datos!K26)*11)/factor_trimestre," - ")</f>
        <v>3.7918552036199098</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506</v>
      </c>
      <c r="C28" s="7" t="str">
        <f>Datos!A28</f>
        <v xml:space="preserve">Jdos. de lo Social                              </v>
      </c>
      <c r="D28" s="566"/>
      <c r="E28" s="721">
        <f>IF(ISNUMBER(Datos!AQ28),Datos!AQ28," - ")</f>
        <v>1</v>
      </c>
      <c r="F28" s="556">
        <f>IF(ISNUMBER(Datos!L28+Datos!K28-Datos!J28),Datos!L28+Datos!K28-Datos!J28," - ")</f>
        <v>691</v>
      </c>
      <c r="G28" s="556">
        <f>IF(ISNUMBER(Datos!I28),Datos!I28," - ")</f>
        <v>711</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27</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795</v>
      </c>
      <c r="AB28" s="553"/>
      <c r="AC28" s="553"/>
      <c r="AD28" s="567"/>
      <c r="AE28" s="567">
        <f>IF(ISNUMBER(Datos!R28),Datos!R28," - ")</f>
        <v>202</v>
      </c>
      <c r="AF28" s="243" t="str">
        <f>IF(ISNUMBER(Datos!BV28),Datos!BV28," - ")</f>
        <v xml:space="preserve"> - </v>
      </c>
      <c r="AG28" s="556"/>
      <c r="AH28" s="557"/>
      <c r="AI28" s="558"/>
      <c r="AJ28" s="239">
        <f>IF(ISNUMBER(Datos!M28),Datos!M28," - ")</f>
        <v>30</v>
      </c>
      <c r="AK28" s="245">
        <f>IF(ISNUMBER(Datos!N28),Datos!N28," - ")</f>
        <v>24</v>
      </c>
      <c r="AL28" s="245" t="str">
        <f>IF(ISNUMBER(Datos!BW28),Datos!BW28," - ")</f>
        <v xml:space="preserve"> - </v>
      </c>
      <c r="AM28" s="246" t="str">
        <f>IF(ISNUMBER(Datos!BX28),Datos!BX28," - ")</f>
        <v xml:space="preserve"> - </v>
      </c>
      <c r="AN28" s="405"/>
      <c r="AO28" s="406">
        <f>IF(ISNUMBER(((Datos!L28/Datos!K28)*11)/factor_trimestre),((Datos!L28/Datos!K28)*11)/factor_trimestre," - ")</f>
        <v>20.649350649350648</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145.45454545454547</v>
      </c>
    </row>
    <row r="29" spans="1:72" ht="15" thickBot="1">
      <c r="A29" s="596">
        <f>Datos!AO29</f>
        <v>0</v>
      </c>
      <c r="B29" s="604" t="s">
        <v>506</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636.36363636363637</v>
      </c>
    </row>
    <row r="30" spans="1:72" ht="15.75" thickTop="1" thickBot="1">
      <c r="A30" s="191"/>
      <c r="B30" s="191"/>
      <c r="C30" s="1163" t="str">
        <f>Datos!A30</f>
        <v>TOTAL</v>
      </c>
      <c r="D30" s="1163"/>
      <c r="E30" s="1200">
        <f t="shared" ref="E30:S30" si="8">SUBTOTAL(9,E28:E29)</f>
        <v>1</v>
      </c>
      <c r="F30" s="1200">
        <f t="shared" si="8"/>
        <v>691</v>
      </c>
      <c r="G30" s="1200">
        <f t="shared" si="8"/>
        <v>711</v>
      </c>
      <c r="H30" s="1214">
        <f t="shared" si="8"/>
        <v>0</v>
      </c>
      <c r="I30" s="1200">
        <f t="shared" si="8"/>
        <v>0</v>
      </c>
      <c r="J30" s="1170">
        <f t="shared" si="8"/>
        <v>0</v>
      </c>
      <c r="K30" s="1200">
        <f t="shared" si="8"/>
        <v>0</v>
      </c>
      <c r="L30" s="1200">
        <f t="shared" si="8"/>
        <v>0</v>
      </c>
      <c r="M30" s="1200">
        <f t="shared" si="8"/>
        <v>0</v>
      </c>
      <c r="N30" s="1200">
        <f t="shared" si="8"/>
        <v>27</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795</v>
      </c>
      <c r="AB30" s="1202">
        <f t="shared" si="9"/>
        <v>0</v>
      </c>
      <c r="AC30" s="1202">
        <f t="shared" si="9"/>
        <v>0</v>
      </c>
      <c r="AD30" s="1213">
        <f t="shared" si="9"/>
        <v>0</v>
      </c>
      <c r="AE30" s="1213">
        <f t="shared" si="9"/>
        <v>202</v>
      </c>
      <c r="AF30" s="1214">
        <f t="shared" si="9"/>
        <v>0</v>
      </c>
      <c r="AG30" s="1200">
        <f t="shared" si="9"/>
        <v>0</v>
      </c>
      <c r="AH30" s="1215">
        <f t="shared" si="9"/>
        <v>0</v>
      </c>
      <c r="AI30" s="1210">
        <f t="shared" si="9"/>
        <v>0</v>
      </c>
      <c r="AJ30" s="1200">
        <f t="shared" si="9"/>
        <v>30</v>
      </c>
      <c r="AK30" s="1214">
        <f t="shared" si="9"/>
        <v>24</v>
      </c>
      <c r="AL30" s="1201">
        <f t="shared" si="9"/>
        <v>0</v>
      </c>
      <c r="AM30" s="1210">
        <f t="shared" si="9"/>
        <v>0</v>
      </c>
      <c r="AN30" s="1206">
        <f>IF(ISNUMBER(NºAsuntos!G30/NºAsuntos!E30),NºAsuntos!G30/NºAsuntos!E30," - ")</f>
        <v>0.425414364640884</v>
      </c>
      <c r="AO30" s="1222">
        <f>IF(ISNUMBER(((Datos!L30/Datos!K30)*11)/factor_trimestre),((Datos!L30/Datos!K30)*11)/factor_trimestre," - ")</f>
        <v>20.649350649350648</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17</v>
      </c>
      <c r="F31" s="1120">
        <f t="shared" si="10"/>
        <v>3754</v>
      </c>
      <c r="G31" s="1120">
        <f t="shared" si="10"/>
        <v>3842</v>
      </c>
      <c r="H31" s="1121">
        <f t="shared" si="10"/>
        <v>0</v>
      </c>
      <c r="I31" s="1120">
        <f t="shared" si="10"/>
        <v>0</v>
      </c>
      <c r="J31" s="1122">
        <f t="shared" si="10"/>
        <v>0</v>
      </c>
      <c r="K31" s="1120">
        <f t="shared" si="10"/>
        <v>0</v>
      </c>
      <c r="L31" s="1123">
        <f t="shared" si="10"/>
        <v>0</v>
      </c>
      <c r="M31" s="1120">
        <f t="shared" si="10"/>
        <v>0</v>
      </c>
      <c r="N31" s="1121">
        <f t="shared" si="10"/>
        <v>390</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1638</v>
      </c>
      <c r="Z31" s="1127">
        <f t="shared" si="11"/>
        <v>833</v>
      </c>
      <c r="AA31" s="1128">
        <f t="shared" si="11"/>
        <v>3822</v>
      </c>
      <c r="AB31" s="1128">
        <f t="shared" si="11"/>
        <v>0</v>
      </c>
      <c r="AC31" s="1128">
        <f t="shared" si="11"/>
        <v>0</v>
      </c>
      <c r="AD31" s="1129">
        <f t="shared" si="11"/>
        <v>0</v>
      </c>
      <c r="AE31" s="1129">
        <f t="shared" si="11"/>
        <v>4650</v>
      </c>
      <c r="AF31" s="1130">
        <f t="shared" si="11"/>
        <v>0</v>
      </c>
      <c r="AG31" s="1131">
        <f t="shared" si="11"/>
        <v>0</v>
      </c>
      <c r="AH31" s="1132">
        <f t="shared" si="11"/>
        <v>0</v>
      </c>
      <c r="AI31" s="1130">
        <f t="shared" si="11"/>
        <v>0</v>
      </c>
      <c r="AJ31" s="1120">
        <f t="shared" si="11"/>
        <v>558</v>
      </c>
      <c r="AK31" s="1120">
        <f t="shared" si="11"/>
        <v>1194</v>
      </c>
      <c r="AL31" s="1120">
        <f t="shared" si="11"/>
        <v>0</v>
      </c>
      <c r="AM31" s="1133">
        <f t="shared" si="11"/>
        <v>0</v>
      </c>
      <c r="AN31" s="1123">
        <f>IF(ISNUMBER(Datos!K31/Datos!J31),Datos!K31/Datos!J31," - ")</f>
        <v>0.98968338669512634</v>
      </c>
      <c r="AO31" s="1123">
        <f>IF(ISNUMBER(FIND("06",Criterios!A8,1)),(IF(ISNUMBER(((Datos!R31/Datos!Q31)*11)/factor_trimestre),((Datos!R31/Datos!Q31)*11)/factor_trimestre," - ")),(IF(ISNUMBER(((Datos!L31/Datos!K31)*11)/factor_trimestre),((Datos!L31/Datos!K31)*11)/factor_trimestre," - ")))</f>
        <v>4.1329978432782175</v>
      </c>
      <c r="AP31" s="1134" t="str">
        <f>IF(ISNUMBER(Datos!CI31/Datos!CJ31),Datos!CI31/Datos!CJ31," - ")</f>
        <v xml:space="preserve"> - </v>
      </c>
      <c r="AQ31" s="1134">
        <f>IF(OR(ISNUMBER(FIND("01",Criterios!A8,1)),ISNUMBER(FIND("02",Criterios!A8,1)),ISNUMBER(FIND("03",Criterios!A8,1)),ISNUMBER(FIND("04",Criterios!A8,1))),(J31-Y31+K31)/(F31-K31),(I31-Y31+K31)/(F31-K31))</f>
        <v>-0.43633457645178475</v>
      </c>
      <c r="AR31" s="1134">
        <f>IF(ISNUMBER((Datos!P31-Datos!Q31+O31)/(Datos!R31-Datos!P31+Datos!Q31-O31)),(Datos!P31-Datos!Q31+O31)/(Datos!R31-Datos!P31+Datos!Q31-O31)," - ")</f>
        <v>-9.1145833333333329E-2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698.5454545454545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335</v>
      </c>
      <c r="D33" s="385"/>
      <c r="E33" s="719"/>
      <c r="F33" s="276">
        <f>IF(ISNUMBER(STDEV(F8:F30)),STDEV(F8:F30),"-")</f>
        <v>831.47296341425852</v>
      </c>
      <c r="G33" s="678">
        <f>IF(ISNUMBER(STDEV(G8:G30)),STDEV(G8:G30),"-")</f>
        <v>830.50856270557063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92.354061780046948</v>
      </c>
      <c r="AK33" s="276"/>
      <c r="AL33" s="276">
        <f>IF(ISNUMBER(STDEV(AL8:AL30)),STDEV(AL8:AL30),"-")</f>
        <v>0</v>
      </c>
      <c r="AM33" s="278">
        <f>IF(ISNUMBER(STDEV(AM8:AM30)),STDEV(AM8:AM30),"-")</f>
        <v>0</v>
      </c>
      <c r="AN33" s="664">
        <f>IF(ISNUMBER(STDEV(AN8:AN30)),STDEV(AN8:AN30),"-")</f>
        <v>0.81812682733151898</v>
      </c>
      <c r="AO33" s="665">
        <f>IF(ISNUMBER(STDEV(AO8:AO30)),STDEV(AO8:AO30),"-")</f>
        <v>6.8376764338900875</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247.30437026972669</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25 nov. 2021</v>
      </c>
    </row>
    <row r="43" spans="1:72">
      <c r="V43" s="1381"/>
    </row>
    <row r="44" spans="1:72" ht="13.5" thickBot="1">
      <c r="C44" s="659"/>
      <c r="D44" s="649"/>
      <c r="E44" s="649"/>
    </row>
    <row r="45" spans="1:72" ht="15" thickBot="1">
      <c r="L45" s="672"/>
    </row>
  </sheetData>
  <sheetProtection algorithmName="SHA-512" hashValue="u71py6f/AHkFiIUKghYj8R5Y84dDZa2HXM5rL8y0UcfiSHUSzPc2WByVayPD2i4tMJlsvwGWy3676pcDL1p3Iw==" saltValue="38XLnk0rJoivFRlmiyMox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820</v>
      </c>
      <c r="D3" s="819"/>
      <c r="E3" s="819"/>
      <c r="F3" s="819"/>
      <c r="G3" s="819" t="str">
        <f xml:space="preserve"> "Año: " &amp; Año &amp; "  Trimestres " &amp; TrimIni &amp; " al " &amp; TrimFin</f>
        <v>Año: 2021  Trimestres 3 al 3</v>
      </c>
      <c r="H3" s="820"/>
      <c r="I3" s="820"/>
      <c r="J3" s="820"/>
      <c r="K3" s="821"/>
      <c r="L3" s="821"/>
      <c r="M3" s="821"/>
      <c r="N3" s="821"/>
      <c r="O3" s="821"/>
      <c r="P3" s="821"/>
      <c r="Q3" s="821"/>
    </row>
    <row r="4" spans="1:18" ht="42" customHeight="1" thickBot="1">
      <c r="A4" s="1895" t="s">
        <v>821</v>
      </c>
      <c r="B4" s="1895" t="s">
        <v>931</v>
      </c>
      <c r="C4" s="1895" t="s">
        <v>822</v>
      </c>
      <c r="D4" s="1895" t="s">
        <v>889</v>
      </c>
      <c r="E4" s="1897" t="s">
        <v>890</v>
      </c>
      <c r="F4" s="1895" t="s">
        <v>823</v>
      </c>
      <c r="G4" s="1897" t="s">
        <v>591</v>
      </c>
      <c r="H4" s="1890" t="s">
        <v>824</v>
      </c>
      <c r="I4" s="1890" t="s">
        <v>825</v>
      </c>
      <c r="J4" s="1890" t="s">
        <v>826</v>
      </c>
      <c r="K4" s="1892" t="s">
        <v>342</v>
      </c>
      <c r="L4" s="1893"/>
      <c r="M4" s="1893"/>
      <c r="N4" s="1894"/>
      <c r="O4" s="1892" t="s">
        <v>586</v>
      </c>
      <c r="P4" s="1893"/>
      <c r="Q4" s="1893"/>
      <c r="R4" s="1894"/>
    </row>
    <row r="5" spans="1:18" ht="27.75" customHeight="1" thickBot="1">
      <c r="A5" s="1896"/>
      <c r="B5" s="1896"/>
      <c r="C5" s="1896"/>
      <c r="D5" s="1896"/>
      <c r="E5" s="1896"/>
      <c r="F5" s="1896"/>
      <c r="G5" s="1896"/>
      <c r="H5" s="1891"/>
      <c r="I5" s="1891"/>
      <c r="J5" s="1891"/>
      <c r="K5" s="1146" t="s">
        <v>587</v>
      </c>
      <c r="L5" s="1146" t="s">
        <v>588</v>
      </c>
      <c r="M5" s="1146" t="s">
        <v>589</v>
      </c>
      <c r="N5" s="1146" t="s">
        <v>590</v>
      </c>
      <c r="O5" s="1147" t="s">
        <v>587</v>
      </c>
      <c r="P5" s="1146" t="s">
        <v>588</v>
      </c>
      <c r="Q5" s="1146" t="s">
        <v>589</v>
      </c>
      <c r="R5" s="1146" t="s">
        <v>590</v>
      </c>
    </row>
  </sheetData>
  <sheetProtection algorithmName="SHA-512" hashValue="ij1eKauEA4KeMFlF7oH+om0PP8LpisTeCuLFV7TDjhblixlV9NtG61xQUqCjGteN9nwZ8govVbG4YAokGp9jKg==" saltValue="dLNplDM+unMBxGiTlxvv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t="s">
        <v>326</v>
      </c>
      <c r="BO1" s="32" t="s">
        <v>327</v>
      </c>
      <c r="BP1" s="31" t="s">
        <v>328</v>
      </c>
      <c r="BQ1" s="53" t="s">
        <v>330</v>
      </c>
      <c r="BR1" s="32" t="s">
        <v>336</v>
      </c>
      <c r="BS1" s="31" t="s">
        <v>337</v>
      </c>
      <c r="BT1" s="53" t="s">
        <v>338</v>
      </c>
      <c r="BU1" s="32" t="s">
        <v>352</v>
      </c>
      <c r="BV1" s="31" t="s">
        <v>353</v>
      </c>
      <c r="BW1" s="53" t="s">
        <v>354</v>
      </c>
      <c r="BX1" s="32" t="s">
        <v>359</v>
      </c>
      <c r="BY1" s="31" t="s">
        <v>361</v>
      </c>
      <c r="BZ1" s="53" t="s">
        <v>370</v>
      </c>
      <c r="CA1" s="32" t="s">
        <v>371</v>
      </c>
      <c r="CB1" s="31" t="s">
        <v>456</v>
      </c>
      <c r="CC1" s="53" t="s">
        <v>459</v>
      </c>
      <c r="CD1" s="32" t="s">
        <v>461</v>
      </c>
      <c r="CE1" s="31" t="s">
        <v>471</v>
      </c>
      <c r="CF1" s="53" t="s">
        <v>472</v>
      </c>
      <c r="CG1" s="32" t="s">
        <v>473</v>
      </c>
      <c r="CH1" s="31" t="s">
        <v>474</v>
      </c>
      <c r="CI1" s="53" t="s">
        <v>498</v>
      </c>
      <c r="CJ1" s="32" t="s">
        <v>500</v>
      </c>
      <c r="CK1" s="31" t="s">
        <v>287</v>
      </c>
      <c r="CL1" s="53" t="s">
        <v>404</v>
      </c>
      <c r="CM1" s="32" t="s">
        <v>409</v>
      </c>
      <c r="CN1" s="31" t="s">
        <v>430</v>
      </c>
      <c r="CO1" s="53" t="s">
        <v>431</v>
      </c>
      <c r="CP1" s="32" t="s">
        <v>448</v>
      </c>
      <c r="CQ1" s="31" t="s">
        <v>449</v>
      </c>
      <c r="CR1" s="32" t="s">
        <v>450</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522</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1" t="s">
        <v>343</v>
      </c>
      <c r="CF4" s="1772"/>
      <c r="CG4" s="1772"/>
      <c r="CH4" s="1773"/>
    </row>
    <row r="5" spans="1:151" ht="12.75" customHeight="1" thickBot="1">
      <c r="A5" s="1797" t="str">
        <f>"Año:  " &amp;Criterios!B5 &amp; "                  Trimestre   " &amp;Criterios!D5 &amp; " al " &amp;Criterios!D6</f>
        <v>Año:  2021                  Trimestre   3 al 3</v>
      </c>
      <c r="B5" s="1799" t="s">
        <v>509</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171</v>
      </c>
      <c r="AP5" s="1774" t="s">
        <v>172</v>
      </c>
      <c r="AQ5" s="1774" t="s">
        <v>120</v>
      </c>
      <c r="AR5" s="1774" t="s">
        <v>173</v>
      </c>
      <c r="AS5" s="1786" t="s">
        <v>210</v>
      </c>
      <c r="AT5" s="1786" t="s">
        <v>211</v>
      </c>
      <c r="AU5" s="1786" t="s">
        <v>300</v>
      </c>
      <c r="AV5" s="1786" t="s">
        <v>298</v>
      </c>
      <c r="AW5" s="1786" t="s">
        <v>301</v>
      </c>
      <c r="AX5" s="1786" t="s">
        <v>299</v>
      </c>
      <c r="AY5" s="1780" t="s">
        <v>148</v>
      </c>
      <c r="AZ5" s="1833"/>
      <c r="BA5" s="1833"/>
      <c r="BB5" s="1833"/>
      <c r="BC5" s="1834"/>
      <c r="BD5" s="1780" t="s">
        <v>149</v>
      </c>
      <c r="BE5" s="1781"/>
      <c r="BF5" s="1781"/>
      <c r="BG5" s="1782"/>
      <c r="BH5" s="1774" t="s">
        <v>187</v>
      </c>
      <c r="BI5" s="1774" t="s">
        <v>188</v>
      </c>
      <c r="BJ5" s="1830" t="s">
        <v>268</v>
      </c>
      <c r="BK5" s="1791" t="s">
        <v>271</v>
      </c>
      <c r="BL5" s="1791" t="s">
        <v>278</v>
      </c>
      <c r="BM5" s="1827" t="s">
        <v>405</v>
      </c>
      <c r="BN5" s="1604" t="s">
        <v>257</v>
      </c>
      <c r="BO5" s="1605"/>
      <c r="BP5" s="1604" t="s">
        <v>258</v>
      </c>
      <c r="BQ5" s="1605"/>
      <c r="BR5" s="1604" t="s">
        <v>259</v>
      </c>
      <c r="BS5" s="1605"/>
      <c r="BT5" s="1604" t="s">
        <v>260</v>
      </c>
      <c r="BU5" s="1605"/>
      <c r="BV5" s="1788" t="s">
        <v>342</v>
      </c>
      <c r="BW5" s="1794" t="s">
        <v>320</v>
      </c>
      <c r="BX5" s="1794" t="s">
        <v>321</v>
      </c>
      <c r="BY5" s="1777" t="s">
        <v>329</v>
      </c>
      <c r="BZ5" s="1777" t="s">
        <v>455</v>
      </c>
      <c r="CA5" s="1764" t="s">
        <v>358</v>
      </c>
      <c r="CB5" s="1764" t="s">
        <v>349</v>
      </c>
      <c r="CC5" s="1764" t="s">
        <v>350</v>
      </c>
      <c r="CD5" s="1764" t="s">
        <v>351</v>
      </c>
      <c r="CE5" s="1752" t="s">
        <v>362</v>
      </c>
      <c r="CF5" s="1752" t="s">
        <v>341</v>
      </c>
      <c r="CG5" s="1752" t="s">
        <v>339</v>
      </c>
      <c r="CH5" s="1752" t="s">
        <v>340</v>
      </c>
      <c r="CI5" s="1768" t="s">
        <v>368</v>
      </c>
      <c r="CJ5" s="1768" t="s">
        <v>369</v>
      </c>
      <c r="CK5" s="1743" t="s">
        <v>540</v>
      </c>
      <c r="CL5" s="1743" t="s">
        <v>541</v>
      </c>
      <c r="CM5" s="1743" t="s">
        <v>579</v>
      </c>
      <c r="CN5" s="1765" t="s">
        <v>477</v>
      </c>
      <c r="CO5" s="1765" t="s">
        <v>470</v>
      </c>
      <c r="CP5" s="1765" t="s">
        <v>476</v>
      </c>
      <c r="CQ5" s="1758" t="s">
        <v>475</v>
      </c>
      <c r="CR5" s="1758" t="s">
        <v>475</v>
      </c>
      <c r="CS5" s="1752" t="s">
        <v>496</v>
      </c>
      <c r="CT5" s="1752" t="s">
        <v>499</v>
      </c>
      <c r="CU5" s="1752" t="s">
        <v>286</v>
      </c>
      <c r="CV5" s="1752" t="s">
        <v>397</v>
      </c>
      <c r="CW5" s="1752" t="s">
        <v>429</v>
      </c>
      <c r="CX5" s="1752" t="s">
        <v>440</v>
      </c>
      <c r="CY5" s="1752" t="s">
        <v>566</v>
      </c>
      <c r="CZ5" s="1752" t="s">
        <v>567</v>
      </c>
      <c r="DA5" s="1752" t="s">
        <v>568</v>
      </c>
      <c r="DB5" s="1724" t="s">
        <v>251</v>
      </c>
      <c r="DC5" s="1724" t="s">
        <v>252</v>
      </c>
      <c r="DD5" s="1724" t="s">
        <v>253</v>
      </c>
      <c r="DE5" s="1755" t="s">
        <v>224</v>
      </c>
      <c r="DF5" s="1755" t="s">
        <v>521</v>
      </c>
      <c r="DG5" s="1752" t="s">
        <v>581</v>
      </c>
      <c r="DH5" s="1743" t="s">
        <v>540</v>
      </c>
      <c r="DI5" s="1743" t="s">
        <v>541</v>
      </c>
      <c r="DJ5" s="1743" t="s">
        <v>578</v>
      </c>
      <c r="DK5" s="1743" t="s">
        <v>631</v>
      </c>
      <c r="DL5" s="1743" t="s">
        <v>635</v>
      </c>
      <c r="DM5" s="1742" t="s">
        <v>699</v>
      </c>
      <c r="DN5" s="1742" t="s">
        <v>700</v>
      </c>
      <c r="DO5" s="1742" t="s">
        <v>701</v>
      </c>
      <c r="DP5" s="1742" t="s">
        <v>702</v>
      </c>
      <c r="DQ5" s="1742" t="s">
        <v>703</v>
      </c>
      <c r="DR5" s="1742" t="s">
        <v>704</v>
      </c>
      <c r="DS5" s="1742" t="s">
        <v>705</v>
      </c>
      <c r="DT5" s="1742" t="s">
        <v>706</v>
      </c>
      <c r="DU5" s="1761" t="s">
        <v>707</v>
      </c>
      <c r="DV5" s="1749" t="s">
        <v>708</v>
      </c>
      <c r="DW5" s="1746" t="s">
        <v>709</v>
      </c>
      <c r="DX5" s="1742" t="s">
        <v>710</v>
      </c>
      <c r="DY5" s="1730" t="s">
        <v>711</v>
      </c>
      <c r="DZ5" s="1746" t="s">
        <v>712</v>
      </c>
      <c r="EA5" s="1730" t="s">
        <v>713</v>
      </c>
      <c r="EB5" s="1739" t="s">
        <v>773</v>
      </c>
      <c r="EC5" s="1739" t="s">
        <v>774</v>
      </c>
      <c r="ED5" s="1739" t="s">
        <v>775</v>
      </c>
      <c r="EE5" s="1739" t="s">
        <v>815</v>
      </c>
      <c r="EF5" s="1739" t="s">
        <v>819</v>
      </c>
      <c r="EG5" s="1730" t="s">
        <v>817</v>
      </c>
      <c r="EH5" s="1730" t="s">
        <v>818</v>
      </c>
      <c r="EI5" s="1730" t="s">
        <v>777</v>
      </c>
      <c r="EJ5" s="1730" t="s">
        <v>778</v>
      </c>
      <c r="EK5" s="1727" t="s">
        <v>866</v>
      </c>
      <c r="EL5" s="1733" t="s">
        <v>884</v>
      </c>
      <c r="EM5" s="1734"/>
      <c r="EN5" s="1735"/>
      <c r="EO5" s="1724" t="s">
        <v>990</v>
      </c>
      <c r="EP5" s="1724" t="s">
        <v>992</v>
      </c>
      <c r="EQ5" s="1724" t="s">
        <v>993</v>
      </c>
      <c r="ER5" s="1724" t="s">
        <v>1007</v>
      </c>
      <c r="ES5" s="1724" t="s">
        <v>1009</v>
      </c>
      <c r="ET5" s="1721" t="s">
        <v>1126</v>
      </c>
      <c r="EU5" s="1721" t="s">
        <v>1127</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147</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t="s">
        <v>217</v>
      </c>
      <c r="BO6" s="1602" t="s">
        <v>218</v>
      </c>
      <c r="BP6" s="1602" t="s">
        <v>217</v>
      </c>
      <c r="BQ6" s="1602" t="s">
        <v>218</v>
      </c>
      <c r="BR6" s="1602" t="s">
        <v>217</v>
      </c>
      <c r="BS6" s="1602" t="s">
        <v>218</v>
      </c>
      <c r="BT6" s="1602" t="s">
        <v>217</v>
      </c>
      <c r="BU6" s="1602" t="s">
        <v>218</v>
      </c>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989</v>
      </c>
      <c r="B7" s="1801"/>
      <c r="C7" s="1804"/>
      <c r="D7" s="69" t="s">
        <v>510</v>
      </c>
      <c r="E7" s="70" t="s">
        <v>166</v>
      </c>
      <c r="F7" s="70" t="s">
        <v>165</v>
      </c>
      <c r="G7" s="131" t="s">
        <v>48</v>
      </c>
      <c r="H7" s="132" t="s">
        <v>511</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885</v>
      </c>
      <c r="EM7" s="854" t="s">
        <v>126</v>
      </c>
      <c r="EN7" s="854" t="s">
        <v>127</v>
      </c>
      <c r="EO7" s="1726"/>
      <c r="EP7" s="1726"/>
      <c r="EQ7" s="1726"/>
      <c r="ER7" s="1726"/>
      <c r="ES7" s="1726"/>
      <c r="ET7" s="1723"/>
      <c r="EU7" s="1723"/>
    </row>
    <row r="8" spans="1:151"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632</v>
      </c>
      <c r="DL8" s="536" t="s">
        <v>633</v>
      </c>
      <c r="DM8" s="536" t="s">
        <v>714</v>
      </c>
      <c r="DN8" s="536" t="s">
        <v>715</v>
      </c>
      <c r="DO8" s="536" t="s">
        <v>716</v>
      </c>
      <c r="DP8" s="536" t="s">
        <v>717</v>
      </c>
      <c r="DQ8" s="536" t="s">
        <v>718</v>
      </c>
      <c r="DR8" s="536" t="s">
        <v>719</v>
      </c>
      <c r="DS8" s="536" t="s">
        <v>720</v>
      </c>
      <c r="DT8" s="536" t="s">
        <v>721</v>
      </c>
      <c r="DU8" s="542" t="s">
        <v>722</v>
      </c>
      <c r="DV8" s="536" t="s">
        <v>723</v>
      </c>
      <c r="DW8" s="536" t="s">
        <v>724</v>
      </c>
      <c r="DX8" s="536" t="s">
        <v>725</v>
      </c>
      <c r="DY8" s="536" t="s">
        <v>726</v>
      </c>
      <c r="DZ8" s="536" t="s">
        <v>727</v>
      </c>
      <c r="EA8" s="536" t="s">
        <v>728</v>
      </c>
      <c r="EB8" s="536" t="s">
        <v>785</v>
      </c>
      <c r="EC8" s="536" t="s">
        <v>786</v>
      </c>
      <c r="ED8" s="536" t="s">
        <v>787</v>
      </c>
      <c r="EE8" s="536" t="s">
        <v>788</v>
      </c>
      <c r="EF8" s="536" t="s">
        <v>789</v>
      </c>
      <c r="EG8" s="536" t="s">
        <v>790</v>
      </c>
      <c r="EH8" s="536" t="s">
        <v>791</v>
      </c>
      <c r="EI8" s="536" t="s">
        <v>792</v>
      </c>
      <c r="EJ8" s="536" t="s">
        <v>793</v>
      </c>
      <c r="EK8" s="536" t="s">
        <v>867</v>
      </c>
      <c r="EL8" s="855" t="s">
        <v>886</v>
      </c>
      <c r="EM8" s="855" t="s">
        <v>887</v>
      </c>
      <c r="EN8" s="855" t="s">
        <v>888</v>
      </c>
      <c r="EO8" s="53" t="s">
        <v>991</v>
      </c>
      <c r="EP8" s="53" t="s">
        <v>997</v>
      </c>
      <c r="EQ8" s="53" t="s">
        <v>998</v>
      </c>
      <c r="ER8" s="53" t="s">
        <v>1008</v>
      </c>
      <c r="ES8" s="536" t="s">
        <v>1010</v>
      </c>
      <c r="ET8" s="1522" t="s">
        <v>1128</v>
      </c>
      <c r="EU8" s="1522" t="s">
        <v>1129</v>
      </c>
    </row>
    <row r="9" spans="1:151" ht="14.25" customHeight="1">
      <c r="A9" s="20" t="s">
        <v>69</v>
      </c>
      <c r="B9" s="21" t="s">
        <v>512</v>
      </c>
      <c r="C9" s="22" t="s">
        <v>8</v>
      </c>
      <c r="D9" s="23" t="s">
        <v>25</v>
      </c>
      <c r="E9" s="21" t="s">
        <v>26</v>
      </c>
      <c r="F9" s="21">
        <v>32</v>
      </c>
      <c r="G9" s="6"/>
      <c r="H9" s="146" t="s">
        <v>313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183</v>
      </c>
      <c r="B10" s="21" t="s">
        <v>512</v>
      </c>
      <c r="C10" s="22" t="s">
        <v>8</v>
      </c>
      <c r="D10" s="23" t="s">
        <v>111</v>
      </c>
      <c r="E10" s="21" t="s">
        <v>111</v>
      </c>
      <c r="F10" s="21" t="s">
        <v>178</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183</v>
      </c>
      <c r="B18" s="21" t="s">
        <v>512</v>
      </c>
      <c r="C18" s="22" t="s">
        <v>8</v>
      </c>
      <c r="D18" s="23" t="s">
        <v>111</v>
      </c>
      <c r="E18" s="21" t="s">
        <v>111</v>
      </c>
      <c r="F18" s="21" t="s">
        <v>178</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517</v>
      </c>
      <c r="B20" s="21" t="s">
        <v>512</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Bo82CNjPRR0pa3z/sXwlsragtK39glMsZfLmHs6826FJ3MJ3xGfsPAqSJ+azcRXXv/dNpZaNKljcZ83daACxVA==" saltValue="mQgUAXxgfqjuZYG7GUlQb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ANDALUCIA</v>
      </c>
      <c r="F1" s="859"/>
    </row>
    <row r="2" spans="1:72" ht="16.5" customHeight="1">
      <c r="C2" s="571" t="str">
        <f>Criterios!A10 &amp;"  "&amp;Criterios!B10 &amp; "  " &amp; IF(NOT(ISBLANK(Criterios!A11)),Criterios!A11 &amp;"  "&amp;Criterios!B11,"")</f>
        <v>Provincias  MALAGA  Resumenes por Partidos Judiciales  MELILLA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39" t="s">
        <v>458</v>
      </c>
      <c r="B5" s="297"/>
      <c r="C5" s="1639" t="str">
        <f>"Año:  " &amp;Criterios!B$5 &amp; "          Trimestre   " &amp;Criterios!D$5 &amp; " al " &amp;Criterios!D$6</f>
        <v>Año:  2021          Trimestre   3 al 3</v>
      </c>
      <c r="D5" s="1844" t="s">
        <v>484</v>
      </c>
      <c r="E5" s="1844" t="s">
        <v>742</v>
      </c>
      <c r="F5" s="1882" t="s">
        <v>520</v>
      </c>
      <c r="G5" s="1844" t="s">
        <v>168</v>
      </c>
      <c r="H5" s="1844" t="s">
        <v>775</v>
      </c>
      <c r="I5" s="1844" t="s">
        <v>743</v>
      </c>
      <c r="J5" s="1844" t="s">
        <v>860</v>
      </c>
      <c r="K5" s="1844" t="s">
        <v>744</v>
      </c>
      <c r="L5" s="1844" t="s">
        <v>699</v>
      </c>
      <c r="M5" s="1874" t="s">
        <v>773</v>
      </c>
      <c r="N5" s="1844" t="s">
        <v>917</v>
      </c>
      <c r="O5" s="1844" t="s">
        <v>876</v>
      </c>
      <c r="P5" s="1844" t="s">
        <v>224</v>
      </c>
      <c r="Q5" s="1877" t="s">
        <v>872</v>
      </c>
      <c r="R5" s="1877" t="s">
        <v>918</v>
      </c>
      <c r="S5" s="1844" t="s">
        <v>776</v>
      </c>
      <c r="T5" s="1877" t="s">
        <v>745</v>
      </c>
      <c r="U5" s="1877" t="s">
        <v>1035</v>
      </c>
      <c r="V5" s="1877" t="s">
        <v>1036</v>
      </c>
      <c r="W5" s="1847" t="s">
        <v>801</v>
      </c>
      <c r="X5" s="1850" t="s">
        <v>746</v>
      </c>
      <c r="Y5" s="1847" t="s">
        <v>747</v>
      </c>
      <c r="Z5" s="1847" t="s">
        <v>748</v>
      </c>
      <c r="AA5" s="1844" t="s">
        <v>877</v>
      </c>
      <c r="AB5" s="1844" t="s">
        <v>883</v>
      </c>
      <c r="AC5" s="1844" t="s">
        <v>238</v>
      </c>
      <c r="AD5" s="1859" t="s">
        <v>236</v>
      </c>
      <c r="AE5" s="1844" t="s">
        <v>878</v>
      </c>
      <c r="AF5" s="1862" t="s">
        <v>879</v>
      </c>
      <c r="AG5" s="1865" t="s">
        <v>708</v>
      </c>
      <c r="AH5" s="1844" t="s">
        <v>709</v>
      </c>
      <c r="AI5" s="1844" t="s">
        <v>799</v>
      </c>
      <c r="AJ5" s="1868" t="s">
        <v>800</v>
      </c>
      <c r="AK5" s="1865" t="s">
        <v>239</v>
      </c>
      <c r="AL5" s="1844" t="s">
        <v>752</v>
      </c>
      <c r="AM5" s="1844" t="s">
        <v>315</v>
      </c>
      <c r="AN5" s="1844" t="s">
        <v>316</v>
      </c>
      <c r="AO5" s="1844" t="s">
        <v>317</v>
      </c>
      <c r="AP5" s="1844" t="s">
        <v>753</v>
      </c>
      <c r="AQ5" s="1844" t="s">
        <v>318</v>
      </c>
      <c r="AR5" s="1844" t="s">
        <v>754</v>
      </c>
      <c r="AS5" s="1844" t="s">
        <v>755</v>
      </c>
      <c r="AT5" s="1844" t="s">
        <v>756</v>
      </c>
      <c r="AU5" s="1844" t="s">
        <v>784</v>
      </c>
      <c r="AV5" s="1844" t="s">
        <v>777</v>
      </c>
      <c r="AW5" s="1844" t="s">
        <v>429</v>
      </c>
      <c r="AX5" s="1844" t="s">
        <v>778</v>
      </c>
      <c r="AY5" s="1844" t="s">
        <v>757</v>
      </c>
      <c r="AZ5" s="1844" t="s">
        <v>707</v>
      </c>
      <c r="BT5" s="1844" t="s">
        <v>1037</v>
      </c>
    </row>
    <row r="6" spans="1:72" ht="21.75" customHeight="1">
      <c r="A6" s="1898"/>
      <c r="B6" s="883"/>
      <c r="C6" s="1900"/>
      <c r="D6" s="1845"/>
      <c r="E6" s="1845"/>
      <c r="F6" s="1883"/>
      <c r="G6" s="1845"/>
      <c r="H6" s="1845"/>
      <c r="I6" s="1845"/>
      <c r="J6" s="1845"/>
      <c r="K6" s="1845"/>
      <c r="L6" s="1845"/>
      <c r="M6" s="1875"/>
      <c r="N6" s="1845"/>
      <c r="O6" s="1845"/>
      <c r="P6" s="1845"/>
      <c r="Q6" s="1878"/>
      <c r="R6" s="1878"/>
      <c r="S6" s="1845"/>
      <c r="T6" s="1878"/>
      <c r="U6" s="1878"/>
      <c r="V6" s="1878"/>
      <c r="W6" s="1848"/>
      <c r="X6" s="1851"/>
      <c r="Y6" s="1848"/>
      <c r="Z6" s="1848"/>
      <c r="AA6" s="1845"/>
      <c r="AB6" s="1845"/>
      <c r="AC6" s="1845"/>
      <c r="AD6" s="1860"/>
      <c r="AE6" s="1845"/>
      <c r="AF6" s="1863"/>
      <c r="AG6" s="1866"/>
      <c r="AH6" s="1845"/>
      <c r="AI6" s="1845"/>
      <c r="AJ6" s="1869"/>
      <c r="AK6" s="1866"/>
      <c r="AL6" s="1845"/>
      <c r="AM6" s="1845"/>
      <c r="AN6" s="1845"/>
      <c r="AO6" s="1845"/>
      <c r="AP6" s="1845"/>
      <c r="AQ6" s="1845"/>
      <c r="AR6" s="1845"/>
      <c r="AS6" s="1845"/>
      <c r="AT6" s="1845"/>
      <c r="AU6" s="1845"/>
      <c r="AV6" s="1845"/>
      <c r="AW6" s="1845"/>
      <c r="AX6" s="1845"/>
      <c r="AY6" s="1845"/>
      <c r="AZ6" s="1845"/>
      <c r="BT6" s="1845"/>
    </row>
    <row r="7" spans="1:72" ht="38.25" customHeight="1" thickBot="1">
      <c r="A7" s="1899"/>
      <c r="B7" s="884"/>
      <c r="C7" s="885" t="str">
        <f>DatosP!A7</f>
        <v>COMPETENCIAS</v>
      </c>
      <c r="D7" s="1846"/>
      <c r="E7" s="1846"/>
      <c r="F7" s="1884"/>
      <c r="G7" s="1846"/>
      <c r="H7" s="1846"/>
      <c r="I7" s="1846"/>
      <c r="J7" s="1846"/>
      <c r="K7" s="1846"/>
      <c r="L7" s="1846"/>
      <c r="M7" s="1876"/>
      <c r="N7" s="1846"/>
      <c r="O7" s="1846"/>
      <c r="P7" s="1846"/>
      <c r="Q7" s="1879"/>
      <c r="R7" s="1879"/>
      <c r="S7" s="1846"/>
      <c r="T7" s="1879"/>
      <c r="U7" s="1879"/>
      <c r="V7" s="1879"/>
      <c r="W7" s="1849"/>
      <c r="X7" s="1852"/>
      <c r="Y7" s="1849"/>
      <c r="Z7" s="1849"/>
      <c r="AA7" s="1846"/>
      <c r="AB7" s="1846"/>
      <c r="AC7" s="1846"/>
      <c r="AD7" s="1861"/>
      <c r="AE7" s="1846"/>
      <c r="AF7" s="1864"/>
      <c r="AG7" s="1867"/>
      <c r="AH7" s="1846"/>
      <c r="AI7" s="1846"/>
      <c r="AJ7" s="1870"/>
      <c r="AK7" s="1867"/>
      <c r="AL7" s="1846"/>
      <c r="AM7" s="1846"/>
      <c r="AN7" s="1846"/>
      <c r="AO7" s="1846"/>
      <c r="AP7" s="1846"/>
      <c r="AQ7" s="1846"/>
      <c r="AR7" s="1846"/>
      <c r="AS7" s="1846"/>
      <c r="AT7" s="1846"/>
      <c r="AU7" s="1846"/>
      <c r="AV7" s="1846"/>
      <c r="AW7" s="1846"/>
      <c r="AX7" s="1846"/>
      <c r="AY7" s="1846"/>
      <c r="AZ7" s="1846"/>
      <c r="BT7" s="1846"/>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0.14241960183767227</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504</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504</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504</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504</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504</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504</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504</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505</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506</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506</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0.10070586623330616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25 nov. 2021</v>
      </c>
    </row>
    <row r="44" spans="1:72">
      <c r="C44" s="1051"/>
      <c r="D44" s="1052"/>
    </row>
  </sheetData>
  <sheetProtection algorithmName="SHA-512" hashValue="uOBJxUm7Zx8reChG6C+1qbIOl7PHxjx6Lm55evC15qh+JpNxWp+I5TIZWwyrqJDmS4u5+vfsVmZULVWSUlO2Sw==" saltValue="xTyzyKlKfjILwRencmW1b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1122</v>
      </c>
    </row>
    <row r="3" spans="2:5" ht="16.5" customHeight="1" thickBot="1">
      <c r="B3" s="1521" t="s">
        <v>1123</v>
      </c>
      <c r="C3" s="1521" t="s">
        <v>1124</v>
      </c>
      <c r="D3" s="1521" t="s">
        <v>1125</v>
      </c>
      <c r="E3" s="1530" t="s">
        <v>1130</v>
      </c>
    </row>
  </sheetData>
  <sheetProtection algorithmName="SHA-512" hashValue="tlDHAeWFp13KLGCW8cg0Flnd/9QrnY2IX38ER4z6PyRKb9PTTjsdI3SjXNtIDZ/+211xY7r31p6ueKcfD2rrGw==" saltValue="ZD5L/UqE31VpREdqLLFm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ANDALUCIA</v>
      </c>
      <c r="C2" s="437"/>
      <c r="D2" s="437"/>
      <c r="E2" s="437"/>
      <c r="F2" s="437"/>
    </row>
    <row r="3" spans="1:14" ht="19.5">
      <c r="A3" s="439" t="s">
        <v>155</v>
      </c>
      <c r="B3" s="440" t="str">
        <f>Criterios!A10 &amp;"  "&amp;Criterios!B10</f>
        <v>Provincias  MALAGA</v>
      </c>
      <c r="D3" s="437"/>
      <c r="E3" s="437"/>
      <c r="F3" s="437"/>
    </row>
    <row r="4" spans="1:14" ht="13.5" thickBot="1">
      <c r="A4" s="437"/>
      <c r="B4" s="440" t="str">
        <f>Criterios!A11 &amp;"  "&amp;Criterios!B11</f>
        <v>Resumenes por Partidos Judiciales  MELILLA</v>
      </c>
      <c r="C4" s="437"/>
      <c r="D4" s="437"/>
      <c r="E4" s="437"/>
      <c r="F4" s="437"/>
    </row>
    <row r="5" spans="1:14" ht="15.75" customHeight="1">
      <c r="A5" s="1550" t="str">
        <f>"Año:  " &amp;Criterios!B5 &amp; "     Trimestre   " &amp;Criterios!D5 &amp; " al " &amp;Criterios!D6</f>
        <v>Año:  2021     Trimestre   3 al 3</v>
      </c>
      <c r="B5" s="1084" t="s">
        <v>156</v>
      </c>
      <c r="C5" s="1552" t="s">
        <v>168</v>
      </c>
      <c r="D5" s="1553"/>
      <c r="E5" s="1552" t="s">
        <v>123</v>
      </c>
      <c r="F5" s="1553"/>
      <c r="G5" s="1552" t="s">
        <v>14</v>
      </c>
      <c r="H5" s="1553"/>
      <c r="I5" s="1552" t="s">
        <v>169</v>
      </c>
      <c r="J5" s="1553"/>
      <c r="K5" s="1559" t="s">
        <v>996</v>
      </c>
      <c r="L5" s="1543" t="s">
        <v>1059</v>
      </c>
      <c r="M5" s="1543" t="s">
        <v>994</v>
      </c>
      <c r="N5" s="1546" t="s">
        <v>995</v>
      </c>
    </row>
    <row r="6" spans="1:14" ht="21.75" customHeight="1" thickBot="1">
      <c r="A6" s="1551"/>
      <c r="B6" s="1085"/>
      <c r="C6" s="1554"/>
      <c r="D6" s="1555"/>
      <c r="E6" s="1554"/>
      <c r="F6" s="1555"/>
      <c r="G6" s="1554"/>
      <c r="H6" s="1555"/>
      <c r="I6" s="1554"/>
      <c r="J6" s="1555"/>
      <c r="K6" s="1560"/>
      <c r="L6" s="1544"/>
      <c r="M6" s="1544"/>
      <c r="N6" s="1547"/>
    </row>
    <row r="7" spans="1:14" ht="38.25" customHeight="1" thickTop="1" thickBot="1">
      <c r="A7" s="441" t="s">
        <v>989</v>
      </c>
      <c r="B7" s="442" t="s">
        <v>157</v>
      </c>
      <c r="C7" s="443" t="s">
        <v>10</v>
      </c>
      <c r="D7" s="444" t="s">
        <v>11</v>
      </c>
      <c r="E7" s="443" t="s">
        <v>10</v>
      </c>
      <c r="F7" s="444" t="s">
        <v>11</v>
      </c>
      <c r="G7" s="443" t="s">
        <v>10</v>
      </c>
      <c r="H7" s="444" t="s">
        <v>11</v>
      </c>
      <c r="I7" s="443" t="s">
        <v>10</v>
      </c>
      <c r="J7" s="444" t="s">
        <v>11</v>
      </c>
      <c r="K7" s="1561"/>
      <c r="L7" s="1545"/>
      <c r="M7" s="1545"/>
      <c r="N7" s="1548"/>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41</v>
      </c>
      <c r="D10" s="453">
        <f>IF(ISNUMBER(C10/Datos!BH10),C10/Datos!BH10," - ")</f>
        <v>41</v>
      </c>
      <c r="E10" s="452">
        <f>IF(ISNUMBER(Datos!J10),Datos!J10," - ")</f>
        <v>9</v>
      </c>
      <c r="F10" s="453">
        <f>IF(ISNUMBER(E10/B10),E10/B10," - ")</f>
        <v>9</v>
      </c>
      <c r="G10" s="452">
        <f>IF(ISNUMBER(Datos!K10),Datos!K10," - ")</f>
        <v>14</v>
      </c>
      <c r="H10" s="453">
        <f>IF(ISNUMBER(G10/B10),G10/B10," - ")</f>
        <v>14</v>
      </c>
      <c r="I10" s="452">
        <f>IF(ISNUMBER(Datos!L10),Datos!L10," - ")</f>
        <v>36</v>
      </c>
      <c r="J10" s="453">
        <f>IF(ISNUMBER(I10/B10),I10/B10," - ")</f>
        <v>36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5</v>
      </c>
      <c r="C12" s="452">
        <f>IF(ISNUMBER(IF(J_V="SI",Datos!I12,Datos!I12+Datos!Y12)),IF(J_V="SI",Datos!I12,Datos!I12+Datos!Y12)," - ")</f>
        <v>1623</v>
      </c>
      <c r="D12" s="453">
        <f>IF(ISNUMBER(C12/Datos!BH12),C12/Datos!BH12," - ")</f>
        <v>324.60000000000002</v>
      </c>
      <c r="E12" s="452">
        <f>IF(ISNUMBER(IF(J_V="SI",Datos!J12,Datos!J12+Datos!Z12)),IF(J_V="SI",Datos!J12,Datos!J12+Datos!Z12)," - ")</f>
        <v>706</v>
      </c>
      <c r="F12" s="453">
        <f>IF(ISNUMBER(E12/B12),E12/B12," - ")</f>
        <v>141.19999999999999</v>
      </c>
      <c r="G12" s="452">
        <f>IF(ISNUMBER(IF(J_V="SI",Datos!K12,Datos!K12+Datos!AA12)),IF(J_V="SI",Datos!K12,Datos!K12+Datos!AA12)," - ")</f>
        <v>639</v>
      </c>
      <c r="H12" s="453">
        <f>IF(ISNUMBER(G12/B12),G12/B12," - ")</f>
        <v>127.8</v>
      </c>
      <c r="I12" s="452">
        <f>IF(ISNUMBER(IF(J_V="SI",Datos!L12,Datos!L12+Datos!AB12)),IF(J_V="SI",Datos!L12,Datos!L12+Datos!AB12)," - ")</f>
        <v>1761</v>
      </c>
      <c r="J12" s="453">
        <f>IF(ISNUMBER(I12/B12),I12/B12," - ")</f>
        <v>352.2</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1</v>
      </c>
      <c r="C13" s="452">
        <f>IF(ISNUMBER(Datos!I13),Datos!I13," - ")</f>
        <v>0</v>
      </c>
      <c r="D13" s="453">
        <f>IF(ISNUMBER(C13/Datos!BH13),C13/Datos!BH13," - ")</f>
        <v>0</v>
      </c>
      <c r="E13" s="452">
        <f>IF(ISNUMBER(Datos!J13),Datos!J13," - ")</f>
        <v>0</v>
      </c>
      <c r="F13" s="453">
        <f>IF(ISNUMBER(E13/B13),E13/B13," - ")</f>
        <v>0</v>
      </c>
      <c r="G13" s="452">
        <f>IF(ISNUMBER(Datos!K13),Datos!K13," - ")</f>
        <v>0</v>
      </c>
      <c r="H13" s="453">
        <f>IF(ISNUMBER(G13/B13),G13/B13," - ")</f>
        <v>0</v>
      </c>
      <c r="I13" s="452">
        <f>IF(ISNUMBER(Datos!L13),Datos!L13," - ")</f>
        <v>0</v>
      </c>
      <c r="J13" s="453">
        <f>IF(ISNUMBER(I13/B13),I13/B13," - ")</f>
        <v>0</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1664</v>
      </c>
      <c r="D14" s="1150" t="str">
        <f>IF(ISNUMBER(C14/Datos!BI14),C14/Datos!BI14," - ")</f>
        <v xml:space="preserve"> - </v>
      </c>
      <c r="E14" s="1149">
        <f>SUBTOTAL(9,E8:E13)</f>
        <v>715</v>
      </c>
      <c r="F14" s="1150">
        <f>IF(ISNUMBER(E14/B14),E14/B14," - ")</f>
        <v>119.16666666666667</v>
      </c>
      <c r="G14" s="1149">
        <f>SUBTOTAL(9,G8:G13)</f>
        <v>653</v>
      </c>
      <c r="H14" s="1150">
        <f>IF(ISNUMBER(G14/B14),G14/B14," - ")</f>
        <v>108.83333333333333</v>
      </c>
      <c r="I14" s="1149">
        <f>SUBTOTAL(9,I8:I13)</f>
        <v>1797</v>
      </c>
      <c r="J14" s="1150">
        <f>IF(ISNUMBER(I14/B14),I14/B14," - ")</f>
        <v>299.5</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5</v>
      </c>
      <c r="C17" s="452">
        <f>IF(ISNUMBER(IF(D_I="SI",Datos!I17,Datos!I17+Datos!AC17)),IF(D_I="SI",Datos!I17,Datos!I17+Datos!AC17)," - ")</f>
        <v>1914</v>
      </c>
      <c r="D17" s="453">
        <f>IF(ISNUMBER(C17/Datos!BH17),C17/Datos!BH17," - ")</f>
        <v>382.8</v>
      </c>
      <c r="E17" s="452">
        <f>IF(ISNUMBER(IF(D_I="SI",Datos!J17,Datos!J17+Datos!AD17)),IF(D_I="SI",Datos!J17,Datos!J17+Datos!AD17)," - ")</f>
        <v>1304</v>
      </c>
      <c r="F17" s="453">
        <f>IF(ISNUMBER(E17/B17),E17/B17," - ")</f>
        <v>260.8</v>
      </c>
      <c r="G17" s="452">
        <f>IF(ISNUMBER(IF(D_I="SI",Datos!K17,Datos!K17+Datos!AE17)),IF(D_I="SI",Datos!K17,Datos!K17+Datos!AE17)," - ")</f>
        <v>1305</v>
      </c>
      <c r="H17" s="453">
        <f>IF(ISNUMBER(G17/B17),G17/B17," - ")</f>
        <v>261</v>
      </c>
      <c r="I17" s="452">
        <f>IF(ISNUMBER(IF(D_I="SI",Datos!L17,Datos!L17+Datos!AF17)),IF(D_I="SI",Datos!L17,Datos!L17+Datos!AF17)," - ")</f>
        <v>1919</v>
      </c>
      <c r="J17" s="453">
        <f>IF(ISNUMBER(I17/B17),I17/B17," - ")</f>
        <v>383.8</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80</v>
      </c>
      <c r="D18" s="453">
        <f>IF(ISNUMBER(C18/Datos!BH18),C18/Datos!BH18," - ")</f>
        <v>80</v>
      </c>
      <c r="E18" s="452">
        <f>IF(ISNUMBER(IF(D_I="SI",Datos!J18,Datos!J18+Datos!AD18)),IF(D_I="SI",Datos!J18,Datos!J18+Datos!AD18)," - ")</f>
        <v>146</v>
      </c>
      <c r="F18" s="453">
        <f>IF(ISNUMBER(E18/B18),E18/B18," - ")</f>
        <v>146</v>
      </c>
      <c r="G18" s="452">
        <f>IF(ISNUMBER(IF(D_I="SI",Datos!K18,Datos!K18+Datos!AE18)),IF(D_I="SI",Datos!K18,Datos!K18+Datos!AE18)," - ")</f>
        <v>144</v>
      </c>
      <c r="H18" s="453">
        <f>IF(ISNUMBER(G18/B18),G18/B18," - ")</f>
        <v>144</v>
      </c>
      <c r="I18" s="452">
        <f>IF(ISNUMBER(IF(D_I="SI",Datos!L18,Datos!L18+Datos!AF18)),IF(D_I="SI",Datos!L18,Datos!L18+Datos!AF18)," - ")</f>
        <v>82</v>
      </c>
      <c r="J18" s="453">
        <f>IF(ISNUMBER(I18/B18),I18/B18," - ")</f>
        <v>82</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1</v>
      </c>
      <c r="C19" s="452">
        <f>IF(ISNUMBER(Datos!I19),Datos!I19," - ")</f>
        <v>272</v>
      </c>
      <c r="D19" s="453">
        <f>IF(ISNUMBER(C19/Datos!BH19),C19/Datos!BH19," - ")</f>
        <v>272</v>
      </c>
      <c r="E19" s="452">
        <f>IF(ISNUMBER(Datos!J19),Datos!J19," - ")</f>
        <v>54</v>
      </c>
      <c r="F19" s="453">
        <f>IF(ISNUMBER(E19/B19),E19/B19," - ")</f>
        <v>54</v>
      </c>
      <c r="G19" s="452">
        <f>IF(ISNUMBER(Datos!K19),Datos!K19," - ")</f>
        <v>93</v>
      </c>
      <c r="H19" s="453">
        <f>IF(ISNUMBER(G19/B19),G19/B19," - ")</f>
        <v>93</v>
      </c>
      <c r="I19" s="452">
        <f>IF(ISNUMBER(Datos!L19),Datos!L19," - ")</f>
        <v>233</v>
      </c>
      <c r="J19" s="453">
        <f>IF(ISNUMBER(I19/B19),I19/B19," - ")</f>
        <v>233</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f>IF(ISNUMBER(Datos!I20),Datos!I20," - ")</f>
        <v>33</v>
      </c>
      <c r="D20" s="453" t="str">
        <f>IF(ISNUMBER(C20/Datos!BH20),C20/Datos!BH20," - ")</f>
        <v xml:space="preserve"> - </v>
      </c>
      <c r="E20" s="452">
        <f>IF(ISNUMBER(Datos!J20),Datos!J20," - ")</f>
        <v>184</v>
      </c>
      <c r="F20" s="453" t="str">
        <f>IF(ISNUMBER(E20/B20),E20/B20," - ")</f>
        <v xml:space="preserve"> - </v>
      </c>
      <c r="G20" s="452">
        <f>IF(ISNUMBER(Datos!K20),Datos!K20," - ")</f>
        <v>162</v>
      </c>
      <c r="H20" s="453" t="str">
        <f>IF(ISNUMBER(G20/B20),G20/B20," - ")</f>
        <v xml:space="preserve"> - </v>
      </c>
      <c r="I20" s="452">
        <f>IF(ISNUMBER(Datos!L20),Datos!L20," - ")</f>
        <v>55</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2</v>
      </c>
      <c r="C21" s="452">
        <f>IF(ISNUMBER(Datos!I21),Datos!I21," - ")</f>
        <v>600</v>
      </c>
      <c r="D21" s="453">
        <f>IF(ISNUMBER(C21/Datos!BH21),C21/Datos!BH21," - ")</f>
        <v>300</v>
      </c>
      <c r="E21" s="452">
        <f>IF(ISNUMBER(Datos!J21),Datos!J21," - ")</f>
        <v>146</v>
      </c>
      <c r="F21" s="453">
        <f>IF(ISNUMBER(E21/B21),E21/B21," - ")</f>
        <v>73</v>
      </c>
      <c r="G21" s="452">
        <f>IF(ISNUMBER(Datos!K21),Datos!K21," - ")</f>
        <v>175</v>
      </c>
      <c r="H21" s="453">
        <f>IF(ISNUMBER(G21/B21),G21/B21," - ")</f>
        <v>87.5</v>
      </c>
      <c r="I21" s="452">
        <f>IF(ISNUMBER(Datos!L21),Datos!L21," - ")</f>
        <v>571</v>
      </c>
      <c r="J21" s="453">
        <f>IF(ISNUMBER(I21/B21),I21/B21," - ")</f>
        <v>285.5</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2899</v>
      </c>
      <c r="D23" s="1150" t="str">
        <f>IF(ISNUMBER(C23/Datos!BI23),C23/Datos!BI23," - ")</f>
        <v xml:space="preserve"> - </v>
      </c>
      <c r="E23" s="1149">
        <f>SUBTOTAL(9,E15:E22)</f>
        <v>1834</v>
      </c>
      <c r="F23" s="1150">
        <f>IF(ISNUMBER(E23/B23),E23/B23," - ")</f>
        <v>229.25</v>
      </c>
      <c r="G23" s="1149">
        <f>SUBTOTAL(9,G15:G22)</f>
        <v>1879</v>
      </c>
      <c r="H23" s="1150">
        <f>IF(ISNUMBER(G23/B23),G23/B23," - ")</f>
        <v>234.875</v>
      </c>
      <c r="I23" s="1149">
        <f>SUBTOTAL(9,I15:I22)</f>
        <v>2860</v>
      </c>
      <c r="J23" s="1150">
        <f>IF(ISNUMBER(I23/B23),I23/B23," - ")</f>
        <v>357.5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3</v>
      </c>
      <c r="C25" s="452">
        <f>IF(ISNUMBER(Datos!I25),Datos!I25," - ")</f>
        <v>496</v>
      </c>
      <c r="D25" s="453">
        <f>IF(ISNUMBER(C25/Datos!BH25),C25/Datos!BH25," - ")</f>
        <v>165.33333333333334</v>
      </c>
      <c r="E25" s="452">
        <f>IF(ISNUMBER(Datos!J25),Datos!J25," - ")</f>
        <v>138</v>
      </c>
      <c r="F25" s="453">
        <f>IF(ISNUMBER(E25/B25),E25/B25," - ")</f>
        <v>46</v>
      </c>
      <c r="G25" s="452">
        <f>IF(ISNUMBER(Datos!K25),Datos!K25," - ")</f>
        <v>221</v>
      </c>
      <c r="H25" s="453">
        <f>IF(ISNUMBER(G25/B25),G25/B25," - ")</f>
        <v>73.666666666666671</v>
      </c>
      <c r="I25" s="452">
        <f>IF(ISNUMBER(Datos!L25),Datos!L25," - ")</f>
        <v>419</v>
      </c>
      <c r="J25" s="453">
        <f>IF(ISNUMBER(I25/B25),I25/B25," - ")</f>
        <v>139.66666666666666</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3</v>
      </c>
      <c r="C26" s="1149">
        <f>SUBTOTAL(9,C25:C25)</f>
        <v>496</v>
      </c>
      <c r="D26" s="1150" t="str">
        <f>IF(ISNUMBER(C26/Datos!BI26),C26/Datos!BI26," - ")</f>
        <v xml:space="preserve"> - </v>
      </c>
      <c r="E26" s="1149">
        <f>SUBTOTAL(9,E25:E25)</f>
        <v>138</v>
      </c>
      <c r="F26" s="1150">
        <f>IF(ISNUMBER(E26/B26),E26/B26," - ")</f>
        <v>46</v>
      </c>
      <c r="G26" s="1149">
        <f>SUBTOTAL(9,G25:G25)</f>
        <v>221</v>
      </c>
      <c r="H26" s="1150">
        <f>IF(ISNUMBER(G26/B26),G26/B26," - ")</f>
        <v>73.666666666666671</v>
      </c>
      <c r="I26" s="1149">
        <f>SUBTOTAL(9,I25:I25)</f>
        <v>419</v>
      </c>
      <c r="J26" s="1150">
        <f>IF(ISNUMBER(I26/B26),I26/B26," - ")</f>
        <v>139.66666666666666</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711</v>
      </c>
      <c r="D28" s="453">
        <f>IF(ISNUMBER(C28/Datos!BH28),C28/Datos!BH28," - ")</f>
        <v>711</v>
      </c>
      <c r="E28" s="452">
        <f>IF(ISNUMBER(Datos!J28),Datos!J28," - ")</f>
        <v>181</v>
      </c>
      <c r="F28" s="453">
        <f>IF(ISNUMBER(E28/B28),E28/B28," - ")</f>
        <v>181</v>
      </c>
      <c r="G28" s="452">
        <f>IF(ISNUMBER(Datos!K28),Datos!K28," - ")</f>
        <v>77</v>
      </c>
      <c r="H28" s="453">
        <f>IF(ISNUMBER(G28/B28),G28/B28," - ")</f>
        <v>77</v>
      </c>
      <c r="I28" s="452">
        <f>IF(ISNUMBER(Datos!L28),Datos!L28," - ")</f>
        <v>795</v>
      </c>
      <c r="J28" s="453">
        <f>IF(ISNUMBER(I28/B28),I28/B28," - ")</f>
        <v>795</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711</v>
      </c>
      <c r="D30" s="1150" t="str">
        <f>IF(ISNUMBER(C30/Datos!BI30),C30/Datos!BI30," - ")</f>
        <v xml:space="preserve"> - </v>
      </c>
      <c r="E30" s="1149">
        <f>SUBTOTAL(9,E28:E29)</f>
        <v>181</v>
      </c>
      <c r="F30" s="1150">
        <f>IF(ISNUMBER(E30/B30),E30/B30," - ")</f>
        <v>181</v>
      </c>
      <c r="G30" s="1149">
        <f>SUBTOTAL(9,G28:G29)</f>
        <v>77</v>
      </c>
      <c r="H30" s="1150">
        <f>IF(ISNUMBER(G30/B30),G30/B30," - ")</f>
        <v>77</v>
      </c>
      <c r="I30" s="1149">
        <f>SUBTOTAL(9,I28:I29)</f>
        <v>795</v>
      </c>
      <c r="J30" s="1150">
        <f>IF(ISNUMBER(I30/B30),I30/B30," - ")</f>
        <v>795</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12</v>
      </c>
      <c r="C31" s="1087">
        <f>SUBTOTAL(9,C9:C30)</f>
        <v>5770</v>
      </c>
      <c r="D31" s="1088" t="str">
        <f>IF(ISNUMBER(C31/Datos!BI31),C31/Datos!BI31," - ")</f>
        <v xml:space="preserve"> - </v>
      </c>
      <c r="E31" s="1087">
        <f>SUBTOTAL(9,E9:E30)</f>
        <v>2868</v>
      </c>
      <c r="F31" s="1088">
        <f>IF(ISNUMBER(E31/B31),E31/B31," - ")</f>
        <v>239</v>
      </c>
      <c r="G31" s="1087">
        <f>SUBTOTAL(9,G9:G30)</f>
        <v>2830</v>
      </c>
      <c r="H31" s="1088">
        <f>IF(ISNUMBER(G31/B31),G31/B31," - ")</f>
        <v>235.83333333333334</v>
      </c>
      <c r="I31" s="1087">
        <f>SUBTOTAL(9,I9:I30)</f>
        <v>5871</v>
      </c>
      <c r="J31" s="1088">
        <f>IF(ISNUMBER(I31/B31),I31/B31," - ")</f>
        <v>489.25</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49"/>
      <c r="B34" s="1549"/>
    </row>
    <row r="35" spans="1:2">
      <c r="A35" s="440" t="str">
        <f>Criterios!A4</f>
        <v>Fecha Informe: 25 nov. 2021</v>
      </c>
    </row>
    <row r="39" spans="1:2">
      <c r="A39" s="463"/>
    </row>
  </sheetData>
  <sheetProtection algorithmName="SHA-512" hashValue="rG/YZzQ4fYqVF08MmtTd2TbMknUPsfIvrkNpeUJgIWVRQbSqzrEtDblfGhjBhwBAehtQyu7g+glmkbFOFM8Omg==" saltValue="nG6cBt4rmynBQbgu4AUj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ANDALUCIA</v>
      </c>
      <c r="F1" s="859"/>
      <c r="W1"/>
      <c r="X1"/>
      <c r="BD1" s="859"/>
    </row>
    <row r="2" spans="1:64" ht="16.5" customHeight="1">
      <c r="C2" s="571" t="str">
        <f>Criterios!A10 &amp;"  "&amp;Criterios!B10 &amp; "  " &amp; IF(NOT(ISBLANK(Criterios!A11)),Criterios!A11 &amp;"  "&amp;Criterios!B11,"")</f>
        <v>Provincias  MALAGA  Resumenes por Partidos Judiciales  MELILLA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39" t="s">
        <v>458</v>
      </c>
      <c r="B5" s="297"/>
      <c r="C5" s="1639" t="str">
        <f>"Año:  " &amp;Criterios!B$5 &amp; "          Trimestre   " &amp;Criterios!D$5 &amp; " al " &amp;Criterios!D$6</f>
        <v>Año:  2021          Trimestre   3 al 3</v>
      </c>
      <c r="D5" s="1844" t="s">
        <v>539</v>
      </c>
      <c r="E5" s="1844" t="s">
        <v>742</v>
      </c>
      <c r="F5" s="1882" t="s">
        <v>520</v>
      </c>
      <c r="G5" s="1844" t="s">
        <v>168</v>
      </c>
      <c r="H5" s="1844" t="s">
        <v>891</v>
      </c>
      <c r="I5" s="1844" t="s">
        <v>892</v>
      </c>
      <c r="J5" s="1844" t="s">
        <v>895</v>
      </c>
      <c r="K5" s="1844" t="s">
        <v>896</v>
      </c>
      <c r="L5" s="1844" t="s">
        <v>773</v>
      </c>
      <c r="M5" s="1844" t="s">
        <v>917</v>
      </c>
      <c r="N5" s="1844" t="s">
        <v>897</v>
      </c>
      <c r="O5" s="1844" t="s">
        <v>893</v>
      </c>
      <c r="P5" s="1844" t="s">
        <v>224</v>
      </c>
      <c r="Q5" s="1844" t="s">
        <v>872</v>
      </c>
      <c r="R5" s="1844" t="s">
        <v>918</v>
      </c>
      <c r="S5" s="1844" t="str">
        <f>"Ingreso Computable 2003" &amp; IF(OR(EXACT(LEFT(boletin,2),"04"),EXACT(LEFT(boletin,2),"14"),EXACT(LEFT(boletin,2),"17"))," (Civil + Penal)","")</f>
        <v>Ingreso Computable 2003</v>
      </c>
      <c r="T5" s="1844" t="s">
        <v>894</v>
      </c>
      <c r="U5" s="1877" t="str">
        <f>"% Ingreso Computable 2003" &amp; IF(OR(EXACT(LEFT(boletin,2),"04"),EXACT(LEFT(boletin,2),"14"),EXACT(LEFT(boletin,2),"17"))," (Civil + Penal)","")</f>
        <v>% Ingreso Computable 2003</v>
      </c>
      <c r="V5" s="1877" t="s">
        <v>898</v>
      </c>
      <c r="W5" s="1844" t="s">
        <v>1029</v>
      </c>
      <c r="X5" s="1844" t="s">
        <v>1030</v>
      </c>
      <c r="Y5" s="1856" t="s">
        <v>863</v>
      </c>
      <c r="Z5" s="1906" t="str">
        <f>"RESOLUCION Nº  H/P" &amp; IF(OR(EXACT(LEFT(boletin,2),"04"),EXACT(LEFT(boletin,2),"14"),EXACT(LEFT(boletin,2),"17"))," (Civil + Penal)","")</f>
        <v>RESOLUCION Nº  H/P</v>
      </c>
      <c r="AA5" s="1909" t="str">
        <f>" % S/Iindicador  De  Resolución (Horas punto)" &amp; IF(OR(EXACT(LEFT(boletin,2),"04"),EXACT(LEFT(boletin,2),"14"),EXACT(LEFT(boletin,2),"17"))," (Civil + Penal)","")</f>
        <v xml:space="preserve"> % S/Iindicador  De  Resolución (Horas punto)</v>
      </c>
      <c r="AB5" s="1906" t="s">
        <v>899</v>
      </c>
      <c r="AC5" s="1906" t="s">
        <v>900</v>
      </c>
      <c r="AD5" s="1906" t="s">
        <v>901</v>
      </c>
      <c r="AE5" s="1906" t="s">
        <v>902</v>
      </c>
      <c r="AF5" s="1844" t="s">
        <v>903</v>
      </c>
      <c r="AG5" s="1844" t="s">
        <v>904</v>
      </c>
      <c r="AH5" s="1844" t="s">
        <v>905</v>
      </c>
      <c r="AI5" s="1844" t="s">
        <v>906</v>
      </c>
      <c r="AJ5" s="1844" t="s">
        <v>238</v>
      </c>
      <c r="AK5" s="1865" t="s">
        <v>708</v>
      </c>
      <c r="AL5" s="1865" t="s">
        <v>239</v>
      </c>
      <c r="AM5" s="1844" t="s">
        <v>752</v>
      </c>
      <c r="AN5" s="1844" t="s">
        <v>315</v>
      </c>
      <c r="AO5" s="1844" t="s">
        <v>316</v>
      </c>
      <c r="AP5" s="1844" t="s">
        <v>907</v>
      </c>
      <c r="AQ5" s="1844" t="s">
        <v>908</v>
      </c>
      <c r="AR5" s="1844" t="s">
        <v>909</v>
      </c>
      <c r="AS5" s="1844" t="s">
        <v>910</v>
      </c>
      <c r="AT5" s="1844" t="s">
        <v>911</v>
      </c>
      <c r="AU5" s="1844" t="s">
        <v>912</v>
      </c>
      <c r="AV5" s="1844" t="s">
        <v>913</v>
      </c>
      <c r="AW5" s="1844" t="s">
        <v>914</v>
      </c>
      <c r="AX5" s="1844" t="s">
        <v>429</v>
      </c>
      <c r="AY5" s="1844" t="s">
        <v>915</v>
      </c>
      <c r="AZ5" s="1844" t="s">
        <v>916</v>
      </c>
      <c r="BA5" s="1844" t="s">
        <v>707</v>
      </c>
      <c r="BB5" s="1715" t="s">
        <v>923</v>
      </c>
      <c r="BC5" s="1715" t="s">
        <v>924</v>
      </c>
      <c r="BD5" s="1882" t="s">
        <v>925</v>
      </c>
      <c r="BE5" s="1903"/>
      <c r="BF5" s="1904"/>
      <c r="BG5" s="1903"/>
      <c r="BH5" s="1904"/>
      <c r="BI5" s="1903"/>
      <c r="BJ5" s="1904"/>
      <c r="BK5" s="1903"/>
      <c r="BL5" s="1904"/>
    </row>
    <row r="6" spans="1:64" ht="21.75" customHeight="1">
      <c r="A6" s="1898"/>
      <c r="B6" s="883"/>
      <c r="C6" s="1900"/>
      <c r="D6" s="1845"/>
      <c r="E6" s="1845"/>
      <c r="F6" s="1883"/>
      <c r="G6" s="1845"/>
      <c r="H6" s="1845"/>
      <c r="I6" s="1845"/>
      <c r="J6" s="1845"/>
      <c r="K6" s="1845"/>
      <c r="L6" s="1845"/>
      <c r="M6" s="1845"/>
      <c r="N6" s="1845"/>
      <c r="O6" s="1845"/>
      <c r="P6" s="1845"/>
      <c r="Q6" s="1845"/>
      <c r="R6" s="1845"/>
      <c r="S6" s="1845"/>
      <c r="T6" s="1845"/>
      <c r="U6" s="1878"/>
      <c r="V6" s="1878"/>
      <c r="W6" s="1845"/>
      <c r="X6" s="1845"/>
      <c r="Y6" s="1857"/>
      <c r="Z6" s="1907"/>
      <c r="AA6" s="1910"/>
      <c r="AB6" s="1907"/>
      <c r="AC6" s="1907"/>
      <c r="AD6" s="1907"/>
      <c r="AE6" s="1907"/>
      <c r="AF6" s="1845"/>
      <c r="AG6" s="1845"/>
      <c r="AH6" s="1845"/>
      <c r="AI6" s="1845"/>
      <c r="AJ6" s="1845"/>
      <c r="AK6" s="1866"/>
      <c r="AL6" s="1866"/>
      <c r="AM6" s="1845"/>
      <c r="AN6" s="1845"/>
      <c r="AO6" s="1845"/>
      <c r="AP6" s="1845"/>
      <c r="AQ6" s="1845"/>
      <c r="AR6" s="1845"/>
      <c r="AS6" s="1845"/>
      <c r="AT6" s="1845"/>
      <c r="AU6" s="1845"/>
      <c r="AV6" s="1845"/>
      <c r="AW6" s="1845"/>
      <c r="AX6" s="1845"/>
      <c r="AY6" s="1845"/>
      <c r="AZ6" s="1845"/>
      <c r="BA6" s="1845"/>
      <c r="BB6" s="1716"/>
      <c r="BC6" s="1716"/>
      <c r="BD6" s="1883"/>
      <c r="BE6" s="1901"/>
      <c r="BF6" s="1901"/>
      <c r="BG6" s="1901"/>
      <c r="BH6" s="1901"/>
      <c r="BI6" s="1901"/>
      <c r="BJ6" s="1901"/>
      <c r="BK6" s="1901"/>
      <c r="BL6" s="1901"/>
    </row>
    <row r="7" spans="1:64" ht="38.25" customHeight="1" thickBot="1">
      <c r="A7" s="1899"/>
      <c r="B7" s="884"/>
      <c r="C7" s="885" t="str">
        <f>Datos!A7</f>
        <v>COMPETENCIAS</v>
      </c>
      <c r="D7" s="1846"/>
      <c r="E7" s="1846"/>
      <c r="F7" s="1884"/>
      <c r="G7" s="1846"/>
      <c r="H7" s="1846"/>
      <c r="I7" s="1846"/>
      <c r="J7" s="1846"/>
      <c r="K7" s="1846"/>
      <c r="L7" s="1846"/>
      <c r="M7" s="1846"/>
      <c r="N7" s="1846"/>
      <c r="O7" s="1846"/>
      <c r="P7" s="1846"/>
      <c r="Q7" s="1846"/>
      <c r="R7" s="1846"/>
      <c r="S7" s="1846"/>
      <c r="T7" s="1846"/>
      <c r="U7" s="1879"/>
      <c r="V7" s="1879"/>
      <c r="W7" s="1846"/>
      <c r="X7" s="1846"/>
      <c r="Y7" s="1858"/>
      <c r="Z7" s="1908"/>
      <c r="AA7" s="1911"/>
      <c r="AB7" s="1908"/>
      <c r="AC7" s="1908"/>
      <c r="AD7" s="1908"/>
      <c r="AE7" s="1908"/>
      <c r="AF7" s="1846"/>
      <c r="AG7" s="1846"/>
      <c r="AH7" s="1846"/>
      <c r="AI7" s="1846"/>
      <c r="AJ7" s="1846"/>
      <c r="AK7" s="1867"/>
      <c r="AL7" s="1867"/>
      <c r="AM7" s="1846"/>
      <c r="AN7" s="1846"/>
      <c r="AO7" s="1846"/>
      <c r="AP7" s="1846"/>
      <c r="AQ7" s="1846"/>
      <c r="AR7" s="1846"/>
      <c r="AS7" s="1846"/>
      <c r="AT7" s="1846"/>
      <c r="AU7" s="1846"/>
      <c r="AV7" s="1846"/>
      <c r="AW7" s="1846"/>
      <c r="AX7" s="1846"/>
      <c r="AY7" s="1846"/>
      <c r="AZ7" s="1846"/>
      <c r="BA7" s="1846"/>
      <c r="BB7" s="1905"/>
      <c r="BC7" s="1905"/>
      <c r="BD7" s="1884"/>
      <c r="BE7" s="1902"/>
      <c r="BF7" s="1902"/>
      <c r="BG7" s="1902"/>
      <c r="BH7" s="1902"/>
      <c r="BI7" s="1902"/>
      <c r="BJ7" s="1902"/>
      <c r="BK7" s="1902"/>
      <c r="BL7" s="1902"/>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314</v>
      </c>
      <c r="C10" s="751" t="str">
        <f>Datos!A10</f>
        <v>Jdos. Violencia contra la mujer</v>
      </c>
      <c r="D10" s="605"/>
      <c r="E10" s="907">
        <f>IF(ISNUMBER(Datos!AQ10),Datos!AQ10," - ")</f>
        <v>0</v>
      </c>
      <c r="F10" s="908">
        <f>IF(ISNUMBER(Datos!L10+Datos!K10-Datos!J10),Datos!L10+Datos!K10-Datos!J10," - ")</f>
        <v>41</v>
      </c>
      <c r="G10" s="909">
        <f>IF(ISNUMBER(Datos!I10),Datos!I10," - ")</f>
        <v>41</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14</v>
      </c>
      <c r="AC10" s="908" t="str">
        <f>IF(ISNUMBER(IF(D_I="SI",DatosP!K18,DatosP!K18+DatosP!AE18)),IF(D_I="SI",DatosP!K18,DatosP!K18+DatosP!AE18)," - ")</f>
        <v xml:space="preserve"> - </v>
      </c>
      <c r="AD10" s="910"/>
      <c r="AE10" s="910"/>
      <c r="AF10" s="913">
        <f>IF(ISNUMBER(Datos!L10),Datos!L10,"-")</f>
        <v>36</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6</v>
      </c>
      <c r="AM10" s="917">
        <f>IF(ISNUMBER(Datos!N10+DatosP!N18),Datos!N10+DatosP!N18," - ")</f>
        <v>4</v>
      </c>
      <c r="AN10" s="917">
        <f>IF(ISNUMBER(Datos!BW10+DatosP!BW18),Datos!BW10+DatosP!BW18," - ")</f>
        <v>0</v>
      </c>
      <c r="AO10" s="918">
        <f>IF(ISNUMBER(Datos!BX10+DatosP!BX18),Datos!BX10+DatosP!BX18," - ")</f>
        <v>0</v>
      </c>
      <c r="AP10" s="920">
        <f>IF(ISNUMBER(((Datos!L10/Datos!K10)*11)/factor_trimestre),((Datos!L10/Datos!K10)*11)/factor_trimestre," - ")</f>
        <v>5.1428571428571432</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5</v>
      </c>
      <c r="B12" s="750" t="s">
        <v>314</v>
      </c>
      <c r="C12" s="751" t="str">
        <f>Datos!A12</f>
        <v xml:space="preserve">Jdos. 1ª Instª. e Instr.                        </v>
      </c>
      <c r="D12" s="605"/>
      <c r="E12" s="907">
        <f>IF(ISNUMBER(Datos!AQ12),Datos!AQ12," - ")</f>
        <v>5</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167</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306</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3351</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87</v>
      </c>
      <c r="AM12" s="917">
        <f>IF(ISNUMBER(Datos!N12+DatosP!N17),Datos!N12+DatosP!N17," - ")</f>
        <v>168</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5.511737089201878</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-3.9828080229226362E-2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1</v>
      </c>
      <c r="B13" s="750" t="s">
        <v>314</v>
      </c>
      <c r="C13" s="751" t="str">
        <f>Datos!A13</f>
        <v xml:space="preserve">Jdos. de Menores    </v>
      </c>
      <c r="D13" s="605"/>
      <c r="E13" s="907">
        <f>IF(ISNUMBER(Datos!AQ13),Datos!AQ13," - ")</f>
        <v>1</v>
      </c>
      <c r="F13" s="908">
        <f>IF(ISNUMBER(Datos!L13+Datos!K13-Datos!J13),Datos!L13+Datos!K13-Datos!J13," - ")</f>
        <v>0</v>
      </c>
      <c r="G13" s="909">
        <f>IF(ISNUMBER(Datos!I13),Datos!I13," - ")</f>
        <v>0</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f>IF(ISNUMBER(Datos!L13),Datos!L13,"-")</f>
        <v>0</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41</v>
      </c>
      <c r="G14" s="1261">
        <f t="shared" si="0"/>
        <v>41</v>
      </c>
      <c r="H14" s="1261">
        <f t="shared" si="0"/>
        <v>0</v>
      </c>
      <c r="I14" s="1263">
        <f t="shared" si="0"/>
        <v>0</v>
      </c>
      <c r="J14" s="1262">
        <f t="shared" si="0"/>
        <v>0</v>
      </c>
      <c r="K14" s="1262">
        <f t="shared" si="0"/>
        <v>0</v>
      </c>
      <c r="L14" s="1264">
        <f t="shared" si="0"/>
        <v>0</v>
      </c>
      <c r="M14" s="1264">
        <f t="shared" si="0"/>
        <v>0</v>
      </c>
      <c r="N14" s="1262">
        <f t="shared" si="0"/>
        <v>167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14</v>
      </c>
      <c r="AC14" s="1262">
        <f t="shared" si="1"/>
        <v>0</v>
      </c>
      <c r="AD14" s="1262">
        <f t="shared" si="1"/>
        <v>306</v>
      </c>
      <c r="AE14" s="1262">
        <f t="shared" si="1"/>
        <v>0</v>
      </c>
      <c r="AF14" s="1262">
        <f t="shared" si="1"/>
        <v>36</v>
      </c>
      <c r="AG14" s="1262">
        <f t="shared" si="1"/>
        <v>0</v>
      </c>
      <c r="AH14" s="1262">
        <f t="shared" si="1"/>
        <v>3351</v>
      </c>
      <c r="AI14" s="1262">
        <f t="shared" si="1"/>
        <v>0</v>
      </c>
      <c r="AJ14" s="1262">
        <f t="shared" si="1"/>
        <v>0</v>
      </c>
      <c r="AK14" s="1262">
        <f t="shared" si="1"/>
        <v>0</v>
      </c>
      <c r="AL14" s="1262">
        <f t="shared" si="1"/>
        <v>93</v>
      </c>
      <c r="AM14" s="1262">
        <f t="shared" si="1"/>
        <v>172</v>
      </c>
      <c r="AN14" s="1262">
        <f t="shared" si="1"/>
        <v>0</v>
      </c>
      <c r="AO14" s="1262">
        <f t="shared" si="1"/>
        <v>0</v>
      </c>
      <c r="AP14" s="1267">
        <f>IF(ISNUMBER(((Datos!L14/Datos!K14)*11)/factor_trimestre),((Datos!L14/Datos!K14)*11)/factor_trimestre," - ")</f>
        <v>5.5371900826446279</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-0.34146341463414637</v>
      </c>
      <c r="AU14" s="1262" t="str">
        <f>IF(ISNUMBER((DatosP!#REF!-DatosP!#REF!+DatosP!#REF!)/(DatosP!#REF!+DatosP!#REF!-DatosP!#REF!-DatosP!#REF!)),(DatosP!#REF!-DatosP!#REF!+DatosP!#REF!)/(DatosP!#REF!+DatosP!#REF!-DatosP!#REF!-DatosP!#REF!)," - ")</f>
        <v xml:space="preserve"> - </v>
      </c>
      <c r="AV14" s="1268">
        <f>SUBTOTAL(9,AV9:AV13)</f>
        <v>-3.9828080229226362E-2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504</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5</v>
      </c>
      <c r="B17" s="750" t="s">
        <v>504</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504</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1</v>
      </c>
      <c r="B19" s="750" t="s">
        <v>504</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504</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2</v>
      </c>
      <c r="B21" s="750" t="s">
        <v>504</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504</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3.0441724321447579</v>
      </c>
      <c r="AQ23" s="1267">
        <f>IF(ISNUMBER(((Datos!M23/Datos!L23)*11)/factor_trimestre),((Datos!M23/Datos!L23)*11)/factor_trimestre," - ")</f>
        <v>0.25244755244755246</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-0.20415647921760391</v>
      </c>
      <c r="AW23" s="1270">
        <f>IF(ISNUMBER((Datos!Q23-Datos!R23)/(Datos!S23-Datos!Q23+Datos!R23)),(Datos!Q23-Datos!R23)/(Datos!S23-Datos!Q23+Datos!R23)," - ")</f>
        <v>-0.21180159635119727</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758</v>
      </c>
      <c r="B25" s="604" t="s">
        <v>505</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f>IF(ISNUMBER(((Datos!L26/Datos!K26)*11)/factor_trimestre),((Datos!L26/Datos!K26)*11)/factor_trimestre," - ")</f>
        <v>3.7918552036199098</v>
      </c>
      <c r="AQ26" s="1267">
        <f>IF(ISNUMBER(((Datos!M26/Datos!L26)*11)/factor_trimestre),((Datos!M26/Datos!L26)*11)/factor_trimestre," - ")</f>
        <v>0.52028639618138428</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f>IF(ISNUMBER((Datos!P26-Datos!Q26)/(Datos!R26-Datos!P26+Datos!Q26)),(Datos!P26-Datos!Q26)/(Datos!R26-Datos!P26+Datos!Q26)," - ")</f>
        <v>-8.8235294117647065E-2</v>
      </c>
      <c r="AW26" s="1270">
        <f>IF(ISNUMBER((Datos!Q26-Datos!R26)/(Datos!S26-Datos!Q26+Datos!R26)),(Datos!Q26-Datos!R26)/(Datos!S26-Datos!Q26+Datos!R26)," - ")</f>
        <v>-3.5278154681139755E-2</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506</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506</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20.649350649350648</v>
      </c>
      <c r="AQ30" s="1267">
        <f>IF(ISNUMBER(((Datos!M30/Datos!L30)*11)/factor_trimestre),((Datos!M30/Datos!L30)*11)/factor_trimestre," - ")</f>
        <v>7.5471698113207544E-2</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-6.4814814814814811E-2</v>
      </c>
      <c r="AW30" s="1270">
        <f>IF(ISNUMBER((Datos!Q30-Datos!R30)/(Datos!S30-Datos!Q30+Datos!R30)),(Datos!Q30-Datos!R30)/(Datos!S30-Datos!Q30+Datos!R30)," - ")</f>
        <v>-0.28801431127012522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41</v>
      </c>
      <c r="G31" s="1283">
        <f t="shared" si="8"/>
        <v>41</v>
      </c>
      <c r="H31" s="1283">
        <f t="shared" si="8"/>
        <v>0</v>
      </c>
      <c r="I31" s="1284">
        <f t="shared" si="8"/>
        <v>0</v>
      </c>
      <c r="J31" s="1285">
        <f t="shared" si="8"/>
        <v>0</v>
      </c>
      <c r="K31" s="1285">
        <f t="shared" si="8"/>
        <v>0</v>
      </c>
      <c r="L31" s="1285">
        <f t="shared" si="8"/>
        <v>0</v>
      </c>
      <c r="M31" s="1285">
        <f t="shared" si="8"/>
        <v>0</v>
      </c>
      <c r="N31" s="1284">
        <f t="shared" si="8"/>
        <v>167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14</v>
      </c>
      <c r="AC31" s="1289">
        <f t="shared" si="9"/>
        <v>0</v>
      </c>
      <c r="AD31" s="1289">
        <f t="shared" si="9"/>
        <v>306</v>
      </c>
      <c r="AE31" s="1289">
        <f t="shared" si="9"/>
        <v>0</v>
      </c>
      <c r="AF31" s="1290">
        <f t="shared" si="9"/>
        <v>36</v>
      </c>
      <c r="AG31" s="1290">
        <f t="shared" si="9"/>
        <v>0</v>
      </c>
      <c r="AH31" s="1290">
        <f t="shared" si="9"/>
        <v>3351</v>
      </c>
      <c r="AI31" s="1290">
        <f t="shared" si="9"/>
        <v>0</v>
      </c>
      <c r="AJ31" s="1291">
        <f t="shared" si="9"/>
        <v>0</v>
      </c>
      <c r="AK31" s="1291">
        <f t="shared" si="9"/>
        <v>0</v>
      </c>
      <c r="AL31" s="1283">
        <f t="shared" si="9"/>
        <v>93</v>
      </c>
      <c r="AM31" s="1283">
        <f t="shared" si="9"/>
        <v>172</v>
      </c>
      <c r="AN31" s="1283">
        <f t="shared" si="9"/>
        <v>0</v>
      </c>
      <c r="AO31" s="1283">
        <f t="shared" si="9"/>
        <v>0</v>
      </c>
      <c r="AP31" s="1283">
        <f>IF(ISNUMBER(((Datos!L31/Datos!K31)*11)/factor_trimestre),((Datos!L31/Datos!K31)*11)/factor_trimestre," - ")</f>
        <v>4.1329978432782175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-0.34146341463414637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-9.1145833333333329E-2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13.666666666666666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335</v>
      </c>
      <c r="D33" s="1007"/>
      <c r="E33" s="1008">
        <f>IF(ISNUMBER(STDEV(E8:E30)),STDEV(E8:E30),"-")</f>
        <v>2.3979157616563596</v>
      </c>
      <c r="F33" s="1009">
        <f>IF(ISNUMBER(STDEV(F8:F30)),STDEV(F8:F30),"-")</f>
        <v>21.172308959267209</v>
      </c>
      <c r="G33" s="1010">
        <f>IF(ISNUMBER(STDEV(G8:G30)),STDEV(G8:G30),"-")</f>
        <v>21.172308959267209</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7.6681158050723255</v>
      </c>
      <c r="AC33" s="1011">
        <f>IF(ISNUMBER(STDEV(AC8:AC30)),STDEV(AC8:AC30),"-")</f>
        <v>0</v>
      </c>
      <c r="AD33" s="1014"/>
      <c r="AE33" s="1014"/>
      <c r="AF33" s="1014"/>
      <c r="AG33" s="1014"/>
      <c r="AH33" s="1014"/>
      <c r="AI33" s="1014"/>
      <c r="AJ33" s="1015">
        <f>IF(ISNUMBER(STDEV(AJ8:AJ30)),STDEV(AJ8:AJ30),"-")</f>
        <v>0</v>
      </c>
      <c r="AK33" s="1017"/>
      <c r="AL33" s="1009">
        <f>IF(ISNUMBER(STDEV(AL8:AL30)),STDEV(AL8:AL30),"-")</f>
        <v>45.799563316695497</v>
      </c>
      <c r="AM33" s="1009"/>
      <c r="AN33" s="1009">
        <f>IF(ISNUMBER(STDEV(AN8:AN30)),STDEV(AN8:AN30),"-")</f>
        <v>0</v>
      </c>
      <c r="AO33" s="1015">
        <f>IF(ISNUMBER(STDEV(AO8:AO30)),STDEV(AO8:AO30),"-")</f>
        <v>0</v>
      </c>
      <c r="AP33" s="1068">
        <f>IF(ISNUMBER(STDEV(AP8:AP30)),STDEV(AP8:AP30),"-")</f>
        <v>6.6269215246624897</v>
      </c>
      <c r="AQ33" s="1068">
        <f>IF(ISNUMBER(STDEV(AQ8:AQ30)),STDEV(AQ8:AQ30),"-")</f>
        <v>0.22394873477633606</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539</v>
      </c>
      <c r="AU34" s="1025" t="s">
        <v>539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25 nov. 2021</v>
      </c>
      <c r="W42"/>
      <c r="X42"/>
    </row>
    <row r="44" spans="1:56">
      <c r="C44" s="1051"/>
      <c r="D44" s="1052"/>
      <c r="W44"/>
      <c r="X44"/>
    </row>
  </sheetData>
  <sheetProtection algorithmName="SHA-512" hashValue="4uZNxTdsSmsYkLmJaWh+nh0y/npwLYqLmB/2CZX61uw/8Bg50y1EePh10c6UdFYc1xT4foU5Z3lqRUsRpD2UXw==" saltValue="PosnC/mZflr3CpUMc98NU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ANDALUCIA</v>
      </c>
      <c r="C2" s="437"/>
      <c r="E2" s="437"/>
      <c r="F2" s="437"/>
      <c r="G2" s="437"/>
      <c r="H2" s="437"/>
    </row>
    <row r="3" spans="1:15" ht="39">
      <c r="A3" s="464" t="s">
        <v>275</v>
      </c>
      <c r="B3" s="440" t="str">
        <f>Criterios!A10 &amp;"  "&amp;Criterios!B10</f>
        <v>Provincias  MALAGA</v>
      </c>
      <c r="C3" s="464"/>
      <c r="F3" s="437"/>
      <c r="G3" s="437"/>
      <c r="H3" s="437"/>
    </row>
    <row r="4" spans="1:15" ht="13.5" thickBot="1">
      <c r="A4" s="437"/>
      <c r="B4" s="440" t="str">
        <f>Criterios!A11 &amp;"  "&amp;Criterios!B11</f>
        <v>Resumenes por Partidos Judiciales  MELILLA</v>
      </c>
      <c r="C4" s="437"/>
      <c r="E4" s="437"/>
      <c r="F4" s="437"/>
      <c r="G4" s="437"/>
      <c r="H4" s="437"/>
    </row>
    <row r="5" spans="1:15" ht="15.75" customHeight="1">
      <c r="A5" s="1562" t="str">
        <f>"Año:  " &amp;Criterios!B5</f>
        <v>Año:  2021</v>
      </c>
      <c r="B5" s="1552" t="s">
        <v>262</v>
      </c>
      <c r="C5" s="1565"/>
      <c r="D5" s="1552" t="s">
        <v>279</v>
      </c>
      <c r="E5" s="1570"/>
      <c r="F5" s="1565"/>
      <c r="G5" s="1552" t="s">
        <v>264</v>
      </c>
      <c r="H5" s="1553"/>
      <c r="I5" s="1552" t="s">
        <v>265</v>
      </c>
      <c r="J5" s="1553"/>
      <c r="K5" s="1552" t="s">
        <v>266</v>
      </c>
      <c r="L5" s="1564"/>
      <c r="M5" s="1565"/>
    </row>
    <row r="6" spans="1:15" ht="21.75" customHeight="1" thickBot="1">
      <c r="A6" s="1563"/>
      <c r="B6" s="1568"/>
      <c r="C6" s="1569"/>
      <c r="D6" s="1571"/>
      <c r="E6" s="1572"/>
      <c r="F6" s="1573"/>
      <c r="G6" s="1554"/>
      <c r="H6" s="1555"/>
      <c r="I6" s="1554"/>
      <c r="J6" s="1555"/>
      <c r="K6" s="1554"/>
      <c r="L6" s="1566"/>
      <c r="M6" s="1567"/>
    </row>
    <row r="7" spans="1:15" ht="38.25" customHeight="1" thickTop="1" thickBot="1">
      <c r="A7" s="441" t="str">
        <f>Datos!A7</f>
        <v>COMPETENCIAS</v>
      </c>
      <c r="B7" s="465" t="s">
        <v>147</v>
      </c>
      <c r="C7" s="465" t="s">
        <v>263</v>
      </c>
      <c r="D7" s="465" t="s">
        <v>147</v>
      </c>
      <c r="E7" s="465" t="s">
        <v>263</v>
      </c>
      <c r="F7" s="444" t="s">
        <v>11</v>
      </c>
      <c r="G7" s="465" t="s">
        <v>147</v>
      </c>
      <c r="H7" s="465" t="s">
        <v>267</v>
      </c>
      <c r="I7" s="465" t="s">
        <v>147</v>
      </c>
      <c r="J7" s="465" t="s">
        <v>267</v>
      </c>
      <c r="K7" s="465" t="s">
        <v>147</v>
      </c>
      <c r="L7" s="466" t="s">
        <v>267</v>
      </c>
      <c r="M7" s="466" t="s">
        <v>276</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5</v>
      </c>
      <c r="D12" s="452">
        <f>Datos!BK12</f>
        <v>0</v>
      </c>
      <c r="E12" s="452">
        <f>Datos!AQ12</f>
        <v>5</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1</v>
      </c>
      <c r="D13" s="452">
        <f>Datos!BK13</f>
        <v>0</v>
      </c>
      <c r="E13" s="452">
        <f>Datos!AQ13</f>
        <v>1</v>
      </c>
      <c r="F13" s="453">
        <f>IF(ISNUMBER(E13/Datos!BH13),E13/Datos!BH13," - ")</f>
        <v>1</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5</v>
      </c>
      <c r="D17" s="452">
        <f>Datos!BK17</f>
        <v>0</v>
      </c>
      <c r="E17" s="452">
        <f>Datos!AQ17</f>
        <v>5</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1</v>
      </c>
      <c r="D19" s="452">
        <f>Datos!BK19</f>
        <v>0</v>
      </c>
      <c r="E19" s="452">
        <f>Datos!AQ19</f>
        <v>1</v>
      </c>
      <c r="F19" s="453">
        <f>IF(ISNUMBER(E19/Datos!BH19),E19/Datos!BH19," - ")</f>
        <v>1</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2</v>
      </c>
      <c r="D21" s="452">
        <f>Datos!BK21</f>
        <v>0</v>
      </c>
      <c r="E21" s="452">
        <f>Datos!AQ21</f>
        <v>2</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3</v>
      </c>
      <c r="D25" s="452">
        <f>Datos!BK25</f>
        <v>0</v>
      </c>
      <c r="E25" s="452">
        <f>Datos!AQ25</f>
        <v>3</v>
      </c>
      <c r="F25" s="453">
        <f>IF(ISNUMBER(E25/Datos!BH25),E25/Datos!BH25," - ")</f>
        <v>1</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49"/>
      <c r="B34" s="1549"/>
      <c r="C34" s="1549"/>
      <c r="D34" s="1549"/>
    </row>
    <row r="35" spans="1:4">
      <c r="A35" s="440" t="str">
        <f>Criterios!A4</f>
        <v>Fecha Informe: 25 nov. 2021</v>
      </c>
      <c r="B35" s="440"/>
      <c r="C35" s="440"/>
    </row>
    <row r="39" spans="1:4">
      <c r="A39" s="463"/>
      <c r="B39" s="463"/>
      <c r="C39" s="463"/>
    </row>
  </sheetData>
  <sheetProtection algorithmName="SHA-512" hashValue="UXJGHoihLm1BraTef0HyTAE+QDSQOYsvd79VOKwp6BMKnd5ma4wjJIiMpyeRdG5jrXxoAUZhrYyvCnU0wBxmPw==" saltValue="ehyAuC4j3G7GgZ2VY550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ANDALUCIA</v>
      </c>
      <c r="C2" s="476"/>
      <c r="D2" s="419"/>
    </row>
    <row r="3" spans="1:9" ht="19.5">
      <c r="A3" s="477" t="s">
        <v>16</v>
      </c>
      <c r="B3" s="478" t="str">
        <f>Criterios!A10 &amp;"  "&amp;Criterios!B10</f>
        <v>Provincias  MALAGA</v>
      </c>
      <c r="C3" s="476"/>
      <c r="D3" s="477"/>
    </row>
    <row r="4" spans="1:9" ht="13.5" thickBot="1">
      <c r="B4" s="478" t="str">
        <f>Criterios!A11 &amp;"  "&amp;Criterios!B11</f>
        <v>Resumenes por Partidos Judiciales  MELILLA</v>
      </c>
    </row>
    <row r="5" spans="1:9" ht="15.75" customHeight="1">
      <c r="A5" s="1562" t="str">
        <f>"Año:  " &amp;Criterios!B5 &amp; "                  Trimestre   " &amp;Criterios!D5 &amp; " al " &amp;Criterios!D6</f>
        <v>Año:  2021                  Trimestre   3 al 3</v>
      </c>
      <c r="B5" s="1574" t="s">
        <v>156</v>
      </c>
      <c r="C5" s="1576" t="s">
        <v>163</v>
      </c>
      <c r="D5" s="1552" t="s">
        <v>116</v>
      </c>
      <c r="E5" s="1553"/>
      <c r="F5" s="1552" t="s">
        <v>117</v>
      </c>
      <c r="G5" s="1557"/>
      <c r="H5" s="1552" t="s">
        <v>292</v>
      </c>
      <c r="I5" s="1557"/>
    </row>
    <row r="6" spans="1:9" ht="14.25" customHeight="1" thickBot="1">
      <c r="A6" s="1563"/>
      <c r="B6" s="1575"/>
      <c r="C6" s="1577"/>
      <c r="D6" s="1554"/>
      <c r="E6" s="1555"/>
      <c r="F6" s="1554"/>
      <c r="G6" s="1558"/>
      <c r="H6" s="1554"/>
      <c r="I6" s="1558"/>
    </row>
    <row r="7" spans="1:9" ht="46.5" customHeight="1" thickTop="1" thickBot="1">
      <c r="A7" s="441" t="str">
        <f>Datos!A7</f>
        <v>COMPETENCIAS</v>
      </c>
      <c r="B7" s="479" t="s">
        <v>157</v>
      </c>
      <c r="C7" s="465" t="s">
        <v>157</v>
      </c>
      <c r="D7" s="443" t="s">
        <v>124</v>
      </c>
      <c r="E7" s="444" t="s">
        <v>11</v>
      </c>
      <c r="F7" s="443" t="s">
        <v>125</v>
      </c>
      <c r="G7" s="444" t="s">
        <v>11</v>
      </c>
      <c r="H7" s="443" t="s">
        <v>293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6</v>
      </c>
      <c r="E10" s="453">
        <f>IF(ISNUMBER(D10/B10),D10/B10," - ")</f>
        <v>6</v>
      </c>
      <c r="F10" s="452">
        <f>IF(ISNUMBER(Datos!N10),Datos!N10," - ")</f>
        <v>4</v>
      </c>
      <c r="G10" s="453">
        <f>IF(ISNUMBER(F10/B10),F10/B10," - ")</f>
        <v>4</v>
      </c>
      <c r="H10" s="452">
        <f>IF(ISNUMBER(Datos!O10),Datos!O10," - ")</f>
        <v>4</v>
      </c>
      <c r="I10" s="453">
        <f t="shared" ref="I10:I13" si="2">IF(ISNUMBER(H10/B10),H10/B10," - ")</f>
        <v>4</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5</v>
      </c>
      <c r="C12" s="459">
        <f>Datos!AQ12</f>
        <v>5</v>
      </c>
      <c r="D12" s="452">
        <f>IF(ISNUMBER(Datos!M12),Datos!M12," - ")</f>
        <v>87</v>
      </c>
      <c r="E12" s="453">
        <f t="shared" si="0"/>
        <v>17.399999999999999</v>
      </c>
      <c r="F12" s="452">
        <f>IF(ISNUMBER(Datos!N12),Datos!N12," - ")</f>
        <v>168</v>
      </c>
      <c r="G12" s="453">
        <f t="shared" si="1"/>
        <v>33.6</v>
      </c>
      <c r="H12" s="452">
        <f>IF(ISNUMBER(Datos!O12),Datos!O12," - ")</f>
        <v>461</v>
      </c>
      <c r="I12" s="453">
        <f t="shared" si="2"/>
        <v>92.2</v>
      </c>
    </row>
    <row r="13" spans="1:9" ht="13.5" thickBot="1">
      <c r="A13" s="451" t="str">
        <f>Datos!A13</f>
        <v xml:space="preserve">Jdos. de Menores    </v>
      </c>
      <c r="B13" s="481">
        <f>Datos!AO13</f>
        <v>1</v>
      </c>
      <c r="C13" s="459">
        <f>Datos!AQ13</f>
        <v>1</v>
      </c>
      <c r="D13" s="452">
        <f>IF(ISNUMBER(Datos!M13),Datos!M13," - ")</f>
        <v>0</v>
      </c>
      <c r="E13" s="453">
        <f>IF(ISNUMBER(D13/B13),D13/B13," - ")</f>
        <v>0</v>
      </c>
      <c r="F13" s="452">
        <f>IF(ISNUMBER(Datos!N13),Datos!N13," - ")</f>
        <v>3</v>
      </c>
      <c r="G13" s="453">
        <f>IF(ISNUMBER(F13/B13),F13/B13," - ")</f>
        <v>3</v>
      </c>
      <c r="H13" s="452">
        <f>IF(ISNUMBER(Datos!O13),Datos!O13," - ")</f>
        <v>0</v>
      </c>
      <c r="I13" s="453">
        <f t="shared" si="2"/>
        <v>0</v>
      </c>
    </row>
    <row r="14" spans="1:9" ht="14.25" thickTop="1" thickBot="1">
      <c r="A14" s="1148" t="str">
        <f>Datos!A14</f>
        <v>TOTAL</v>
      </c>
      <c r="B14" s="1149">
        <f>Datos!AO14</f>
        <v>7</v>
      </c>
      <c r="C14" s="1151">
        <f>Datos!AR14</f>
        <v>6</v>
      </c>
      <c r="D14" s="1149">
        <f>SUBTOTAL(9,D9:D13)</f>
        <v>93</v>
      </c>
      <c r="E14" s="1150">
        <f t="shared" si="0"/>
        <v>13.285714285714286</v>
      </c>
      <c r="F14" s="1149">
        <f>SUBTOTAL(9,F9:F13)</f>
        <v>175</v>
      </c>
      <c r="G14" s="1150">
        <f t="shared" si="1"/>
        <v>25</v>
      </c>
      <c r="H14" s="1149">
        <f>SUBTOTAL(9,H9:H13)</f>
        <v>465</v>
      </c>
      <c r="I14" s="1150">
        <f>IF(ISNUMBER(H14/B14),H14/B14," - ")</f>
        <v>66.428571428571431</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5</v>
      </c>
      <c r="C17" s="482">
        <f>Datos!AQ17</f>
        <v>5</v>
      </c>
      <c r="D17" s="452">
        <f>IF(ISNUMBER(Datos!M17),Datos!M17," - ")</f>
        <v>170</v>
      </c>
      <c r="E17" s="453">
        <f t="shared" si="3"/>
        <v>34</v>
      </c>
      <c r="F17" s="452">
        <f>IF(ISNUMBER(Datos!N17),Datos!N17," - ")</f>
        <v>790</v>
      </c>
      <c r="G17" s="453">
        <f t="shared" si="4"/>
        <v>158</v>
      </c>
      <c r="H17" s="452">
        <f>IF(ISNUMBER(Datos!O17),Datos!O17," - ")</f>
        <v>32</v>
      </c>
      <c r="I17" s="453">
        <f t="shared" si="5"/>
        <v>6.4</v>
      </c>
    </row>
    <row r="18" spans="1:9">
      <c r="A18" s="451" t="str">
        <f>Datos!A18</f>
        <v>Jdos. Violencia contra la mujer</v>
      </c>
      <c r="B18" s="481">
        <f>Datos!AO18</f>
        <v>1</v>
      </c>
      <c r="C18" s="482">
        <f>Datos!AQ18</f>
        <v>0</v>
      </c>
      <c r="D18" s="452">
        <f>IF(ISNUMBER(Datos!M18),Datos!M18," - ")</f>
        <v>13</v>
      </c>
      <c r="E18" s="453">
        <f>IF(ISNUMBER(D18/B18),D18/B18," - ")</f>
        <v>13</v>
      </c>
      <c r="F18" s="452">
        <f>IF(ISNUMBER(Datos!N18),Datos!N18," - ")</f>
        <v>93</v>
      </c>
      <c r="G18" s="453">
        <f>IF(ISNUMBER(F18/B18),F18/B18," - ")</f>
        <v>93</v>
      </c>
      <c r="H18" s="452">
        <f>IF(ISNUMBER(Datos!O18),Datos!O18," - ")</f>
        <v>0</v>
      </c>
      <c r="I18" s="453">
        <f t="shared" si="5"/>
        <v>0</v>
      </c>
    </row>
    <row r="19" spans="1:9">
      <c r="A19" s="451" t="str">
        <f>Datos!A19</f>
        <v xml:space="preserve">Jdos. de Menores                                </v>
      </c>
      <c r="B19" s="481">
        <f>Datos!AO19</f>
        <v>1</v>
      </c>
      <c r="C19" s="482">
        <f>Datos!AQ19</f>
        <v>1</v>
      </c>
      <c r="D19" s="452">
        <f>IF(ISNUMBER(Datos!M19),Datos!M19," - ")</f>
        <v>35</v>
      </c>
      <c r="E19" s="453">
        <f t="shared" si="3"/>
        <v>35</v>
      </c>
      <c r="F19" s="452">
        <f>IF(ISNUMBER(Datos!N19),Datos!N19," - ")</f>
        <v>51</v>
      </c>
      <c r="G19" s="453">
        <f t="shared" si="4"/>
        <v>51</v>
      </c>
      <c r="H19" s="452">
        <f>IF(ISNUMBER(Datos!O19),Datos!O19," - ")</f>
        <v>0</v>
      </c>
      <c r="I19" s="453">
        <f t="shared" si="5"/>
        <v>0</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f>IF(ISNUMBER(Datos!N20),Datos!N20," - ")</f>
        <v>162</v>
      </c>
      <c r="G20" s="453" t="str">
        <f t="shared" si="4"/>
        <v xml:space="preserve"> - </v>
      </c>
      <c r="H20" s="452">
        <f>IF(ISNUMBER(Datos!O20),Datos!O20," - ")</f>
        <v>0</v>
      </c>
      <c r="I20" s="453" t="str">
        <f t="shared" si="5"/>
        <v xml:space="preserve"> - </v>
      </c>
    </row>
    <row r="21" spans="1:9">
      <c r="A21" s="451" t="str">
        <f>Datos!A21</f>
        <v xml:space="preserve">Jdos. de lo Penal                               </v>
      </c>
      <c r="B21" s="481">
        <f>Datos!AO21</f>
        <v>2</v>
      </c>
      <c r="C21" s="482">
        <f>Datos!AQ21</f>
        <v>2</v>
      </c>
      <c r="D21" s="452">
        <f>IF(ISNUMBER(Datos!M21),Datos!M21," - ")</f>
        <v>143</v>
      </c>
      <c r="E21" s="453">
        <f t="shared" si="3"/>
        <v>71.5</v>
      </c>
      <c r="F21" s="452">
        <f>IF(ISNUMBER(Datos!N21),Datos!N21," - ")</f>
        <v>32</v>
      </c>
      <c r="G21" s="453">
        <f t="shared" si="4"/>
        <v>16</v>
      </c>
      <c r="H21" s="452">
        <f>IF(ISNUMBER(Datos!O21),Datos!O21," - ")</f>
        <v>0</v>
      </c>
      <c r="I21" s="453">
        <f t="shared" si="5"/>
        <v>0</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9</v>
      </c>
      <c r="C23" s="1151">
        <f>Datos!AR23</f>
        <v>8</v>
      </c>
      <c r="D23" s="1149">
        <f>SUBTOTAL(9,D16:D22)</f>
        <v>361</v>
      </c>
      <c r="E23" s="1150">
        <f t="shared" si="3"/>
        <v>40.111111111111114</v>
      </c>
      <c r="F23" s="1149">
        <f>SUBTOTAL(9,F16:F22)</f>
        <v>1128</v>
      </c>
      <c r="G23" s="1150">
        <f t="shared" si="4"/>
        <v>125.33333333333333</v>
      </c>
      <c r="H23" s="1149">
        <f>SUBTOTAL(9,H16:H22)</f>
        <v>32</v>
      </c>
      <c r="I23" s="1150">
        <f>IF(ISNUMBER(H23/B23),H23/B23," - ")</f>
        <v>3.5555555555555554</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3</v>
      </c>
      <c r="C25" s="482">
        <f>Datos!AQ25</f>
        <v>3</v>
      </c>
      <c r="D25" s="452">
        <f>IF(ISNUMBER(Datos!M25),Datos!M25," - ")</f>
        <v>109</v>
      </c>
      <c r="E25" s="453">
        <f t="shared" ref="E25:E26" si="6">IF(ISNUMBER(D25/B25),D25/B25," - ")</f>
        <v>36.333333333333336</v>
      </c>
      <c r="F25" s="452">
        <f>IF(ISNUMBER(Datos!N25),Datos!N25," - ")</f>
        <v>112</v>
      </c>
      <c r="G25" s="453">
        <f t="shared" ref="G25:G26" si="7">IF(ISNUMBER(F25/B25),F25/B25," - ")</f>
        <v>37.333333333333336</v>
      </c>
      <c r="H25" s="452">
        <f>IF(ISNUMBER(Datos!O25),Datos!O25," - ")</f>
        <v>27</v>
      </c>
      <c r="I25" s="453">
        <f t="shared" ref="I25:I26" si="8">IF(ISNUMBER(H25/B25),H25/B25," - ")</f>
        <v>9</v>
      </c>
    </row>
    <row r="26" spans="1:9" ht="14.25" thickTop="1" thickBot="1">
      <c r="A26" s="1148" t="str">
        <f>Datos!A26</f>
        <v>TOTAL</v>
      </c>
      <c r="B26" s="1149">
        <f>Datos!AO26</f>
        <v>3</v>
      </c>
      <c r="C26" s="1151">
        <f>Datos!AR26</f>
        <v>3</v>
      </c>
      <c r="D26" s="1149">
        <f>SUBTOTAL(9,D25:D25)</f>
        <v>109</v>
      </c>
      <c r="E26" s="1150">
        <f t="shared" si="6"/>
        <v>36.333333333333336</v>
      </c>
      <c r="F26" s="1149">
        <f>SUBTOTAL(9,F25:F25)</f>
        <v>112</v>
      </c>
      <c r="G26" s="1150">
        <f t="shared" si="7"/>
        <v>37.333333333333336</v>
      </c>
      <c r="H26" s="1149">
        <f>SUBTOTAL(9,H25:H25)</f>
        <v>27</v>
      </c>
      <c r="I26" s="1150">
        <f t="shared" si="8"/>
        <v>9</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30</v>
      </c>
      <c r="E28" s="453">
        <f t="shared" ref="E28:E30" si="9">IF(ISNUMBER(D28/B28),D28/B28," - ")</f>
        <v>30</v>
      </c>
      <c r="F28" s="452">
        <f>IF(ISNUMBER(Datos!N28),Datos!N28," - ")</f>
        <v>24</v>
      </c>
      <c r="G28" s="453">
        <f t="shared" ref="G28:G30" si="10">IF(ISNUMBER(F28/B28),F28/B28," - ")</f>
        <v>24</v>
      </c>
      <c r="H28" s="452">
        <f>IF(ISNUMBER(Datos!O28),Datos!O28," - ")</f>
        <v>23</v>
      </c>
      <c r="I28" s="453">
        <f t="shared" ref="I28:I30" si="11">IF(ISNUMBER(H28/B28),H28/B28," - ")</f>
        <v>23</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30</v>
      </c>
      <c r="E30" s="1150">
        <f t="shared" si="9"/>
        <v>30</v>
      </c>
      <c r="F30" s="1149">
        <f>SUBTOTAL(9,F28:F29)</f>
        <v>24</v>
      </c>
      <c r="G30" s="1150">
        <f t="shared" si="10"/>
        <v>24</v>
      </c>
      <c r="H30" s="1149">
        <f>SUBTOTAL(9,H28:H29)</f>
        <v>23</v>
      </c>
      <c r="I30" s="1150">
        <f t="shared" si="11"/>
        <v>23</v>
      </c>
    </row>
    <row r="31" spans="1:9" ht="14.25" thickTop="1" thickBot="1">
      <c r="A31" s="1086" t="str">
        <f>Datos!A31</f>
        <v>TOTAL JURISDICCIONES</v>
      </c>
      <c r="B31" s="1087">
        <f>Datos!AP31</f>
        <v>12</v>
      </c>
      <c r="C31" s="1087">
        <f>Datos!AR31</f>
        <v>12</v>
      </c>
      <c r="D31" s="1087">
        <f>SUBTOTAL(9,D8:D30)</f>
        <v>593</v>
      </c>
      <c r="E31" s="1088">
        <f>IF(ISNUMBER(D31/B31),D31/B31," - ")</f>
        <v>49.416666666666664</v>
      </c>
      <c r="F31" s="1087">
        <f>SUBTOTAL(9,F8:F30)</f>
        <v>1439</v>
      </c>
      <c r="G31" s="1088">
        <f>IF(ISNUMBER(F31/B31),F31/B31," - ")</f>
        <v>119.91666666666667</v>
      </c>
      <c r="H31" s="1087">
        <f>SUBTOTAL(9,H8:H30)</f>
        <v>547</v>
      </c>
      <c r="I31" s="1088">
        <f>IF(ISNUMBER(H31/B31),H31/B31," - ")</f>
        <v>45.583333333333336</v>
      </c>
    </row>
    <row r="34" spans="1:1">
      <c r="A34" s="440" t="str">
        <f>Criterios!A4</f>
        <v>Fecha Informe: 25 nov. 2021</v>
      </c>
    </row>
    <row r="39" spans="1:1">
      <c r="A39" s="463"/>
    </row>
  </sheetData>
  <sheetProtection algorithmName="SHA-512" hashValue="w0Ae6ida+wO6dF+DjyTD4lALoXdDCFSc6+YU62YtlcRW9exnTOh8utz8Vjr4huIyahl9twgg4CmsaxhCUTrUkw==" saltValue="7JVlIoQnw7FJ/KRhxIZB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ANDALUCIA</v>
      </c>
    </row>
    <row r="3" spans="1:4" ht="19.5">
      <c r="A3" s="485" t="s">
        <v>45</v>
      </c>
      <c r="B3" s="440" t="str">
        <f>Criterios!A10 &amp;"  "&amp;Criterios!B10</f>
        <v>Provincias  MALAGA</v>
      </c>
    </row>
    <row r="4" spans="1:4" ht="13.5" thickBot="1">
      <c r="B4" s="440" t="str">
        <f>Criterios!A11 &amp;"  "&amp;Criterios!B11</f>
        <v>Resumenes por Partidos Judiciales  MELILLA</v>
      </c>
    </row>
    <row r="5" spans="1:4" ht="12.75" customHeight="1">
      <c r="A5" s="1562" t="str">
        <f>"Año:  " &amp;Criterios!B5 &amp; "                  Trimestre   " &amp;Criterios!D5 &amp; " al " &amp;Criterios!D6</f>
        <v>Año:  2021                  Trimestre   3 al 3</v>
      </c>
      <c r="B5" s="1578" t="s">
        <v>15</v>
      </c>
      <c r="C5" s="1578" t="s">
        <v>19</v>
      </c>
      <c r="D5" s="1578" t="s">
        <v>169</v>
      </c>
    </row>
    <row r="6" spans="1:4" ht="15.75" customHeight="1">
      <c r="A6" s="1563"/>
      <c r="B6" s="1579"/>
      <c r="C6" s="1579"/>
      <c r="D6" s="1579"/>
    </row>
    <row r="7" spans="1:4" ht="26.25" customHeight="1" thickBot="1">
      <c r="A7" s="441" t="str">
        <f>Datos!A7</f>
        <v>COMPETENCIAS</v>
      </c>
      <c r="B7" s="1580"/>
      <c r="C7" s="1580"/>
      <c r="D7" s="1580"/>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0</v>
      </c>
      <c r="C10" s="490">
        <f>IF(ISNUMBER(Datos!Q10),Datos!Q10," - ")</f>
        <v>0</v>
      </c>
      <c r="D10" s="457">
        <f>IF(ISNUMBER(Datos!R10),Datos!R10," - ")</f>
        <v>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167</v>
      </c>
      <c r="C12" s="490">
        <f>IF(ISNUMBER(Datos!Q12),Datos!Q12," - ")</f>
        <v>306</v>
      </c>
      <c r="D12" s="457">
        <f>IF(ISNUMBER(Datos!R12),Datos!R12," - ")</f>
        <v>3351</v>
      </c>
    </row>
    <row r="13" spans="1:4" ht="13.5" thickBot="1">
      <c r="A13" s="451" t="str">
        <f>Datos!A13</f>
        <v xml:space="preserve">Jdos. de Menores    </v>
      </c>
      <c r="B13" s="489">
        <f>IF(ISNUMBER(Datos!P13),Datos!P13," - ")</f>
        <v>0</v>
      </c>
      <c r="C13" s="490">
        <f>IF(ISNUMBER(Datos!Q13),Datos!Q13," - ")</f>
        <v>0</v>
      </c>
      <c r="D13" s="457">
        <f>IF(ISNUMBER(Datos!R13),Datos!R13," - ")</f>
        <v>0</v>
      </c>
    </row>
    <row r="14" spans="1:4" ht="14.25" thickTop="1" thickBot="1">
      <c r="A14" s="1148" t="str">
        <f>Datos!A14</f>
        <v>TOTAL</v>
      </c>
      <c r="B14" s="1149">
        <f>SUBTOTAL(9,B9:B13)</f>
        <v>167</v>
      </c>
      <c r="C14" s="1153">
        <f>SUBTOTAL(9,C9:C13)</f>
        <v>306</v>
      </c>
      <c r="D14" s="1151">
        <f>SUBTOTAL(9,D9:D13)</f>
        <v>3351</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22</v>
      </c>
      <c r="C17" s="490">
        <f>IF(ISNUMBER(Datos!Q17),Datos!Q17," - ")</f>
        <v>96</v>
      </c>
      <c r="D17" s="457">
        <f>IF(ISNUMBER(Datos!R17),Datos!R17," - ")</f>
        <v>160</v>
      </c>
    </row>
    <row r="18" spans="1:4">
      <c r="A18" s="451" t="str">
        <f>Datos!A18</f>
        <v>Jdos. Violencia contra la mujer</v>
      </c>
      <c r="B18" s="489">
        <f>IF(ISNUMBER(Datos!P18),Datos!P18," - ")</f>
        <v>0</v>
      </c>
      <c r="C18" s="490">
        <f>IF(ISNUMBER(Datos!Q18),Datos!Q18," - ")</f>
        <v>0</v>
      </c>
      <c r="D18" s="457">
        <f>IF(ISNUMBER(Datos!R18),Datos!R18," - ")</f>
        <v>9</v>
      </c>
    </row>
    <row r="19" spans="1:4">
      <c r="A19" s="451" t="str">
        <f>Datos!A19</f>
        <v xml:space="preserve">Jdos. de Menores                                </v>
      </c>
      <c r="B19" s="489">
        <f>IF(ISNUMBER(Datos!P19),Datos!P19," - ")</f>
        <v>29</v>
      </c>
      <c r="C19" s="490">
        <f>IF(ISNUMBER(Datos!Q19),Datos!Q19," - ")</f>
        <v>32</v>
      </c>
      <c r="D19" s="457">
        <f>IF(ISNUMBER(Datos!R19),Datos!R19," - ")</f>
        <v>205</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174</v>
      </c>
      <c r="C21" s="490">
        <f>IF(ISNUMBER(Datos!Q21),Datos!Q21," - ")</f>
        <v>431</v>
      </c>
      <c r="D21" s="457">
        <f>IF(ISNUMBER(Datos!R21),Datos!R21," - ")</f>
        <v>928</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225</v>
      </c>
      <c r="C23" s="1153">
        <f>SUBTOTAL(9,C16:C22)</f>
        <v>559</v>
      </c>
      <c r="D23" s="1151">
        <f>SUBTOTAL(9,D16:D22)</f>
        <v>1302</v>
      </c>
    </row>
    <row r="24" spans="1:4" ht="13.5" thickTop="1">
      <c r="A24" s="445" t="str">
        <f>Datos!A24</f>
        <v xml:space="preserve">Jurisdicción Cont.-Admva.:                      </v>
      </c>
      <c r="B24" s="455"/>
      <c r="C24" s="491"/>
      <c r="D24" s="457"/>
    </row>
    <row r="25" spans="1:4" ht="13.5" thickBot="1">
      <c r="A25" s="451" t="str">
        <f>Datos!A25</f>
        <v xml:space="preserve">Jdos Cont.-Admvo.                               </v>
      </c>
      <c r="B25" s="489">
        <f>IF(ISNUMBER(Datos!P25),Datos!P25," - ")</f>
        <v>2</v>
      </c>
      <c r="C25" s="490">
        <f>IF(ISNUMBER(Datos!Q25),Datos!Q25," - ")</f>
        <v>5</v>
      </c>
      <c r="D25" s="457">
        <f>IF(ISNUMBER(Datos!R25),Datos!R25," - ")</f>
        <v>31</v>
      </c>
    </row>
    <row r="26" spans="1:4" ht="14.25" thickTop="1" thickBot="1">
      <c r="A26" s="1148" t="str">
        <f>Datos!A26</f>
        <v>TOTAL</v>
      </c>
      <c r="B26" s="1149">
        <f>SUBTOTAL(9,B25:B25)</f>
        <v>2</v>
      </c>
      <c r="C26" s="1153">
        <f>SUBTOTAL(9,C25:C25)</f>
        <v>5</v>
      </c>
      <c r="D26" s="1151">
        <f>SUBTOTAL(9,D25:D25)</f>
        <v>31</v>
      </c>
    </row>
    <row r="27" spans="1:4" ht="13.5" thickTop="1">
      <c r="A27" s="445" t="str">
        <f>Datos!A27</f>
        <v xml:space="preserve">Jurisdicción Social:                            </v>
      </c>
      <c r="B27" s="455"/>
      <c r="C27" s="491"/>
      <c r="D27" s="457"/>
    </row>
    <row r="28" spans="1:4">
      <c r="A28" s="451" t="str">
        <f>Datos!A28</f>
        <v xml:space="preserve">Jdos. de lo Social                              </v>
      </c>
      <c r="B28" s="489">
        <f>IF(ISNUMBER(Datos!P28),Datos!P28," - ")</f>
        <v>27</v>
      </c>
      <c r="C28" s="490">
        <f>IF(ISNUMBER(Datos!Q28),Datos!Q28," - ")</f>
        <v>41</v>
      </c>
      <c r="D28" s="457">
        <f>IF(ISNUMBER(Datos!R28),Datos!R28," - ")</f>
        <v>202</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27</v>
      </c>
      <c r="C30" s="1153">
        <f>SUBTOTAL(9,C28:C29)</f>
        <v>41</v>
      </c>
      <c r="D30" s="1151">
        <f>SUBTOTAL(9,D28:D29)</f>
        <v>202</v>
      </c>
    </row>
    <row r="31" spans="1:4" ht="16.5" customHeight="1" thickTop="1" thickBot="1">
      <c r="A31" s="1086" t="str">
        <f>Datos!A31</f>
        <v>TOTAL JURISDICCIONES</v>
      </c>
      <c r="B31" s="1091">
        <f>SUBTOTAL(9,B8:B30)</f>
        <v>421</v>
      </c>
      <c r="C31" s="1092">
        <f>SUBTOTAL(9,C8:C30)</f>
        <v>911</v>
      </c>
      <c r="D31" s="1093">
        <f>SUBTOTAL(9,D8:D30)</f>
        <v>4886</v>
      </c>
    </row>
    <row r="32" spans="1:4" ht="7.5" customHeight="1"/>
    <row r="33" spans="1:1" ht="6" customHeight="1"/>
    <row r="34" spans="1:1">
      <c r="A34" s="440" t="str">
        <f>Criterios!A4</f>
        <v>Fecha Informe: 25 nov. 2021</v>
      </c>
    </row>
    <row r="39" spans="1:1">
      <c r="A39" s="463"/>
    </row>
  </sheetData>
  <sheetProtection algorithmName="SHA-512" hashValue="Tr4/CH90dp8JHF6j+U1lpJ1axJpKfJh5BQU1pj54E3Kyn9QHsGgcrrnBvpf900jrgP4ShumqgQtFVuJH+q7vnA==" saltValue="HHBHRE1Nu4nejmSgVdeB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ANDALUCIA</v>
      </c>
    </row>
    <row r="3" spans="1:11" ht="18.75" customHeight="1">
      <c r="A3" s="485" t="s">
        <v>158</v>
      </c>
      <c r="B3" s="440" t="str">
        <f>Criterios!A10 &amp;"  "&amp;Criterios!B10</f>
        <v>Provincias  MALAGA</v>
      </c>
    </row>
    <row r="4" spans="1:11" ht="10.5" customHeight="1" thickBot="1">
      <c r="B4" s="440" t="str">
        <f>Criterios!A11 &amp;"  "&amp;Criterios!B11</f>
        <v>Resumenes por Partidos Judiciales  MELILLA</v>
      </c>
    </row>
    <row r="5" spans="1:11" ht="12.75" customHeight="1">
      <c r="A5" s="1562" t="str">
        <f>"Año:  " &amp;Criterios!B5 &amp; "    Trimestre   " &amp;Criterios!D5 &amp; " al " &amp;Criterios!D6</f>
        <v>Año:  2021    Trimestre   3 al 3</v>
      </c>
      <c r="B5" s="1596" t="s">
        <v>168</v>
      </c>
      <c r="C5" s="1559" t="s">
        <v>18</v>
      </c>
      <c r="D5" s="1543" t="s">
        <v>14</v>
      </c>
      <c r="E5" s="1543" t="s">
        <v>169</v>
      </c>
      <c r="F5" s="1559" t="s">
        <v>12</v>
      </c>
      <c r="G5" s="1583" t="s">
        <v>13</v>
      </c>
      <c r="H5" s="1576" t="s">
        <v>159</v>
      </c>
      <c r="I5" s="1588" t="s">
        <v>160</v>
      </c>
      <c r="J5" s="1591" t="s">
        <v>161</v>
      </c>
      <c r="K5" s="1556" t="s">
        <v>162</v>
      </c>
    </row>
    <row r="6" spans="1:11" ht="12.75" customHeight="1">
      <c r="A6" s="1563"/>
      <c r="B6" s="1597"/>
      <c r="C6" s="1560"/>
      <c r="D6" s="1544"/>
      <c r="E6" s="1544"/>
      <c r="F6" s="1560"/>
      <c r="G6" s="1584"/>
      <c r="H6" s="1586"/>
      <c r="I6" s="1589"/>
      <c r="J6" s="1592"/>
      <c r="K6" s="1594"/>
    </row>
    <row r="7" spans="1:11" ht="23.25" customHeight="1" thickBot="1">
      <c r="A7" s="441" t="str">
        <f>Datos!A7</f>
        <v>COMPETENCIAS</v>
      </c>
      <c r="B7" s="1598"/>
      <c r="C7" s="1561"/>
      <c r="D7" s="1545"/>
      <c r="E7" s="1545"/>
      <c r="F7" s="1561"/>
      <c r="G7" s="1585"/>
      <c r="H7" s="1587"/>
      <c r="I7" s="1590"/>
      <c r="J7" s="1593"/>
      <c r="K7" s="1595"/>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-0.30508474576271188</v>
      </c>
      <c r="C10" s="516">
        <f>IF(ISNUMBER((Datos!J10-Datos!T10)/Datos!T10),(Datos!J10-Datos!T10)/Datos!T10," - ")</f>
        <v>-0.60869565217391308</v>
      </c>
      <c r="D10" s="516">
        <f>IF(ISNUMBER((Datos!K10-Datos!U10)/Datos!U10),(Datos!K10-Datos!U10)/Datos!U10," - ")</f>
        <v>-0.3</v>
      </c>
      <c r="E10" s="516">
        <f>IF(ISNUMBER((Datos!L10-Datos!V10)/Datos!V10),(Datos!L10-Datos!V10)/Datos!V10," - ")</f>
        <v>-0.41935483870967744</v>
      </c>
      <c r="F10" s="516">
        <f>IF(ISNUMBER((Datos!M10-Datos!W10)/Datos!W10),(Datos!M10-Datos!W10)/Datos!W10," - ")</f>
        <v>0</v>
      </c>
      <c r="G10" s="517">
        <f>IF(ISNUMBER((Datos!N10-Datos!X10)/Datos!X10),(Datos!N10-Datos!X10)/Datos!X10," - ")</f>
        <v>-0.5</v>
      </c>
      <c r="H10" s="515">
        <f>IF(ISNUMBER(((NºAsuntos!G10/NºAsuntos!E10)-Datos!BD10)/Datos!BD10),((NºAsuntos!G10/NºAsuntos!E10)-Datos!BD10)/Datos!BD10," - ")</f>
        <v>0.78888888888888897</v>
      </c>
      <c r="I10" s="516">
        <f>IF(ISNUMBER(((NºAsuntos!I10/NºAsuntos!G10)-Datos!BE10)/Datos!BE10),((NºAsuntos!I10/NºAsuntos!G10)-Datos!BE10)/Datos!BE10," - ")</f>
        <v>-0.17050691244239627</v>
      </c>
      <c r="J10" s="522">
        <f>IF(ISNUMBER((('Resol  Asuntos'!D10/NºAsuntos!G10)-Datos!BF10)/Datos!BF10),(('Resol  Asuntos'!D10/NºAsuntos!G10)-Datos!BF10)/Datos!BF10," - ")</f>
        <v>0.42857142857142855</v>
      </c>
      <c r="K10" s="523">
        <f>IF(ISNUMBER((((NºAsuntos!C10+NºAsuntos!E10)/NºAsuntos!G10)-Datos!BG10)/Datos!BG10),(((NºAsuntos!C10+NºAsuntos!E10)/NºAsuntos!G10)-Datos!BG10)/Datos!BG10," - ")</f>
        <v>-0.12891986062717758</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6.6360052562417865E-2</v>
      </c>
      <c r="C12" s="516">
        <f>IF(ISNUMBER(
   IF(J_V="SI",(Datos!J12-Datos!T12)/Datos!T12,(Datos!J12+Datos!Z12-(Datos!T12+Datos!AH12))/(Datos!T12+Datos!AH12))
     ),IF(J_V="SI",(Datos!J12-Datos!T12)/Datos!T12,(Datos!J12+Datos!Z12-(Datos!T12+Datos!AH12))/(Datos!T12+Datos!AH12))," - ")</f>
        <v>2.840909090909091E-3</v>
      </c>
      <c r="D12" s="516">
        <f>IF(ISNUMBER(
   IF(J_V="SI",(Datos!K12-Datos!U12)/Datos!U12,(Datos!K12+Datos!AA12-(Datos!U12+Datos!AI12))/(Datos!U12+Datos!AI12))
     ),IF(J_V="SI",(Datos!K12-Datos!U12)/Datos!U12,(Datos!K12+Datos!AA12-(Datos!U12+Datos!AI12))/(Datos!U12+Datos!AI12))," - ")</f>
        <v>-5.473372781065089E-2</v>
      </c>
      <c r="E12" s="516">
        <f>IF(ISNUMBER(
   IF(J_V="SI",(Datos!L12-Datos!V12)/Datos!V12,(Datos!L12+Datos!AB12-(Datos!V12+Datos!AJ12))/(Datos!V12+Datos!AJ12))
     ),IF(J_V="SI",(Datos!L12-Datos!V12)/Datos!V12,(Datos!L12+Datos!AB12-(Datos!V12+Datos!AJ12))/(Datos!V12+Datos!AJ12))," - ")</f>
        <v>0.13612903225806453</v>
      </c>
      <c r="F12" s="516">
        <f>IF(ISNUMBER((Datos!M12-Datos!W12)/Datos!W12),(Datos!M12-Datos!W12)/Datos!W12," - ")</f>
        <v>-0.17142857142857143</v>
      </c>
      <c r="G12" s="517">
        <f>IF(ISNUMBER((Datos!N12-Datos!X12)/Datos!X12),(Datos!N12-Datos!X12)/Datos!X12," - ")</f>
        <v>-0.23636363636363636</v>
      </c>
      <c r="H12" s="515">
        <f>IF(ISNUMBER(((NºAsuntos!G12/NºAsuntos!E12)-Datos!BD12)/Datos!BD12),((NºAsuntos!G12/NºAsuntos!E12)-Datos!BD12)/Datos!BD12," - ")</f>
        <v>-5.7411535947164555E-2</v>
      </c>
      <c r="I12" s="516">
        <f>IF(ISNUMBER(((NºAsuntos!I12/NºAsuntos!G12)-Datos!BE12)/Datos!BE12),((NºAsuntos!I12/NºAsuntos!G12)-Datos!BE12)/Datos!BE12," - ")</f>
        <v>0.20191428138724821</v>
      </c>
      <c r="J12" s="522">
        <f>IF(ISNUMBER((('Resol  Asuntos'!D12/NºAsuntos!G12)-Datos!BF12)/Datos!BF12),(('Resol  Asuntos'!D12/NºAsuntos!G12)-Datos!BF12)/Datos!BF12," - ")</f>
        <v>-0.58164746052069993</v>
      </c>
      <c r="K12" s="523">
        <f>IF(ISNUMBER((((NºAsuntos!C12+NºAsuntos!E12)/NºAsuntos!G12)-Datos!BG12)/Datos!BG12),(((NºAsuntos!C12+NºAsuntos!E12)/NºAsuntos!G12)-Datos!BG12)/Datos!BG12," - ")</f>
        <v>0.1068535602152397</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f>IF(ISNUMBER((Datos!N13-Datos!X13)/Datos!X13),(Datos!N13-Datos!X13)/Datos!X13," - ")</f>
        <v>-0.7857142857142857</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5.249841872232764E-2</v>
      </c>
      <c r="C14" s="1155">
        <f>IF(ISNUMBER(
   IF(J_V="SI",(Datos!J14-Datos!T14)/Datos!T14,(Datos!J14+Datos!Z14-(Datos!T14+Datos!AH14))/(Datos!T14+Datos!AH14))
     ),IF(J_V="SI",(Datos!J14-Datos!T14)/Datos!T14,(Datos!J14+Datos!Z14-(Datos!T14+Datos!AH14))/(Datos!T14+Datos!AH14))," - ")</f>
        <v>-1.6506189821182942E-2</v>
      </c>
      <c r="D14" s="1155">
        <f>IF(ISNUMBER(
   IF(J_V="SI",(Datos!K14-Datos!U14)/Datos!U14,(Datos!K14+Datos!AA14-(Datos!U14+Datos!AI14))/(Datos!U14+Datos!AI14))
     ),IF(J_V="SI",(Datos!K14-Datos!U14)/Datos!U14,(Datos!K14+Datos!AA14-(Datos!U14+Datos!AI14))/(Datos!U14+Datos!AI14))," - ")</f>
        <v>-6.17816091954023E-2</v>
      </c>
      <c r="E14" s="1155">
        <f>IF(ISNUMBER(
   IF(J_V="SI",(Datos!L14-Datos!V14)/Datos!V14,(Datos!L14+Datos!AB14-(Datos!V14+Datos!AJ14))/(Datos!V14+Datos!AJ14))
     ),IF(J_V="SI",(Datos!L14-Datos!V14)/Datos!V14,(Datos!L14+Datos!AB14-(Datos!V14+Datos!AJ14))/(Datos!V14+Datos!AJ14))," - ")</f>
        <v>0.11476426799007444</v>
      </c>
      <c r="F14" s="1156">
        <f>IF(ISNUMBER((Datos!M14-Datos!W14)/Datos!W14),(Datos!M14-Datos!W14)/Datos!W14," - ")</f>
        <v>-0.16216216216216217</v>
      </c>
      <c r="G14" s="1157">
        <f>IF(ISNUMBER((Datos!N14-Datos!X14)/Datos!X14),(Datos!N14-Datos!X14)/Datos!X14," - ")</f>
        <v>-0.27685950413223143</v>
      </c>
      <c r="H14" s="1157">
        <f>IF(ISNUMBER(((NºAsuntos!G14/NºAsuntos!E14)-Datos!BD14)/Datos!BD14),((NºAsuntos!G14/NºAsuntos!E14)-Datos!BD14)/Datos!BD14," - ")</f>
        <v>-4.6035286552527956E-2</v>
      </c>
      <c r="I14" s="1157">
        <f>IF(ISNUMBER(((NºAsuntos!I14/NºAsuntos!G14)-Datos!BE14)/Datos!BE14),((NºAsuntos!I14/NºAsuntos!G14)-Datos!BE14)/Datos!BE14," - ")</f>
        <v>0.18817140968007939</v>
      </c>
      <c r="J14" s="1157">
        <f>IF(ISNUMBER((('Resol  Asuntos'!D14/NºAsuntos!G14)-Datos!BF14)/Datos!BF14),(('Resol  Asuntos'!D14/NºAsuntos!G14)-Datos!BF14)/Datos!BF14," - ")</f>
        <v>-0.56139804035831908</v>
      </c>
      <c r="K14" s="1157">
        <f>IF(ISNUMBER((((NºAsuntos!C14+NºAsuntos!E14)/NºAsuntos!G14)-Datos!BG14)/Datos!BG14),(((NºAsuntos!C14+NºAsuntos!E14)/NºAsuntos!G14)-Datos!BG14)/Datos!BG14," - ")</f>
        <v>9.8638200970855849E-2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3.6706869428421605E-3</v>
      </c>
      <c r="C17" s="516">
        <f>IF(ISNUMBER(
   IF(D_I="SI",(Datos!J17-Datos!T17)/Datos!T17,(Datos!J17+Datos!AD17-(Datos!T17+Datos!AL17))/(Datos!T17+Datos!AL17))
     ),IF(D_I="SI",(Datos!J17-Datos!T17)/Datos!T17,(Datos!J17+Datos!AD17-(Datos!T17+Datos!AL17))/(Datos!T17+Datos!AL17))," - ")</f>
        <v>2.1943573667711599E-2</v>
      </c>
      <c r="D17" s="516">
        <f>IF(ISNUMBER(
   IF(D_I="SI",(Datos!K17-Datos!U17)/Datos!U17,(Datos!K17+Datos!AE17-(Datos!U17+Datos!AM17))/(Datos!U17+Datos!AM17))
     ),IF(D_I="SI",(Datos!K17-Datos!U17)/Datos!U17,(Datos!K17+Datos!AE17-(Datos!U17+Datos!AM17))/(Datos!U17+Datos!AM17))," - ")</f>
        <v>1.1627906976744186E-2</v>
      </c>
      <c r="E17" s="516">
        <f>IF(ISNUMBER(
   IF(D_I="SI",(Datos!L17-Datos!V17)/Datos!V17,(Datos!L17+Datos!AF17-(Datos!V17+Datos!AN17))/(Datos!V17+Datos!AN17))
     ),IF(D_I="SI",(Datos!L17-Datos!V17)/Datos!V17,(Datos!L17+Datos!AF17-(Datos!V17+Datos!AN17))/(Datos!V17+Datos!AN17))," - ")</f>
        <v>1.1597258829731154E-2</v>
      </c>
      <c r="F17" s="516">
        <f>IF(ISNUMBER((Datos!M17-Datos!W17)/Datos!W17),(Datos!M17-Datos!W17)/Datos!W17," - ")</f>
        <v>5.5900621118012424E-2</v>
      </c>
      <c r="G17" s="517">
        <f>IF(ISNUMBER((Datos!N17-Datos!X17)/Datos!X17),(Datos!N17-Datos!X17)/Datos!X17," - ")</f>
        <v>9.8748261474269822E-2</v>
      </c>
      <c r="H17" s="515">
        <f>IF(ISNUMBER(((NºAsuntos!G17/NºAsuntos!E17)-Datos!BD17)/Datos!BD17),((NºAsuntos!G17/NºAsuntos!E17)-Datos!BD17)/Datos!BD17," - ")</f>
        <v>-1.0094164645455794E-2</v>
      </c>
      <c r="I17" s="516">
        <f>IF(ISNUMBER(((NºAsuntos!I17/NºAsuntos!G17)-Datos!BE17)/Datos!BE17),((NºAsuntos!I17/NºAsuntos!G17)-Datos!BE17)/Datos!BE17," - ")</f>
        <v>-3.0295869461140367E-5</v>
      </c>
      <c r="J17" s="522">
        <f>IF(ISNUMBER((('Resol  Asuntos'!D17/NºAsuntos!G17)-Datos!BF17)/Datos!BF17),(('Resol  Asuntos'!D17/NºAsuntos!G17)-Datos!BF17)/Datos!BF17," - ")</f>
        <v>4.3763832369529389E-2</v>
      </c>
      <c r="K17" s="523">
        <f>IF(ISNUMBER((((NºAsuntos!C17+NºAsuntos!E17)/NºAsuntos!G17)-Datos!BG17)/Datos!BG17),(((NºAsuntos!C17+NºAsuntos!E17)/NºAsuntos!G17)-Datos!BG17)/Datos!BG17," - ")</f>
        <v>-6.2472690767417685E-4</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-0.1111111111111111</v>
      </c>
      <c r="C18" s="516">
        <f>IF(ISNUMBER(
   IF(D_I="SI",(Datos!J18-Datos!T18)/Datos!T18,(Datos!J18+Datos!AD18-(Datos!T18+Datos!AL18))/(Datos!T18+Datos!AL18))
     ),IF(D_I="SI",(Datos!J18-Datos!T18)/Datos!T18,(Datos!J18+Datos!AD18-(Datos!T18+Datos!AL18))/(Datos!T18+Datos!AL18))," - ")</f>
        <v>-5.1948051948051951E-2</v>
      </c>
      <c r="D18" s="516">
        <f>IF(ISNUMBER(
   IF(D_I="SI",(Datos!K18-Datos!U18)/Datos!U18,(Datos!K18+Datos!AE18-(Datos!U18+Datos!AM18))/(Datos!U18+Datos!AM18))
     ),IF(D_I="SI",(Datos!K18-Datos!U18)/Datos!U18,(Datos!K18+Datos!AE18-(Datos!U18+Datos!AM18))/(Datos!U18+Datos!AM18))," - ")</f>
        <v>-0.23404255319148937</v>
      </c>
      <c r="E18" s="516">
        <f>IF(ISNUMBER(
   IF(D_I="SI",(Datos!L18-Datos!V18)/Datos!V18,(Datos!L18+Datos!AF18-(Datos!V18+Datos!AN18))/(Datos!V18+Datos!AN18))
     ),IF(D_I="SI",(Datos!L18-Datos!V18)/Datos!V18,(Datos!L18+Datos!AF18-(Datos!V18+Datos!AN18))/(Datos!V18+Datos!AN18))," - ")</f>
        <v>0.4642857142857143</v>
      </c>
      <c r="F18" s="516">
        <f>IF(ISNUMBER((Datos!M18-Datos!W18)/Datos!W18),(Datos!M18-Datos!W18)/Datos!W18," - ")</f>
        <v>-0.1875</v>
      </c>
      <c r="G18" s="517">
        <f>IF(ISNUMBER((Datos!N18-Datos!X18)/Datos!X18),(Datos!N18-Datos!X18)/Datos!X18," - ")</f>
        <v>-0.16964285714285715</v>
      </c>
      <c r="H18" s="515">
        <f>IF(ISNUMBER(((NºAsuntos!G18/NºAsuntos!E18)-Datos!BD18)/Datos!BD18),((NºAsuntos!G18/NºAsuntos!E18)-Datos!BD18)/Datos!BD18," - ")</f>
        <v>-0.19207228213348879</v>
      </c>
      <c r="I18" s="516">
        <f>IF(ISNUMBER(((NºAsuntos!I18/NºAsuntos!G18)-Datos!BE18)/Datos!BE18),((NºAsuntos!I18/NºAsuntos!G18)-Datos!BE18)/Datos!BE18," - ")</f>
        <v>0.91170634920634919</v>
      </c>
      <c r="J18" s="522">
        <f>IF(ISNUMBER((('Resol  Asuntos'!D18/NºAsuntos!G18)-Datos!BF18)/Datos!BF18),(('Resol  Asuntos'!D18/NºAsuntos!G18)-Datos!BF18)/Datos!BF18," - ")</f>
        <v>6.0763888888888895E-2</v>
      </c>
      <c r="K18" s="523">
        <f>IF(ISNUMBER((((NºAsuntos!C18+NºAsuntos!E18)/NºAsuntos!G18)-Datos!BG18)/Datos!BG18),(((NºAsuntos!C18+NºAsuntos!E18)/NºAsuntos!G18)-Datos!BG18)/Datos!BG18," - ")</f>
        <v>0.20924408014571949</v>
      </c>
    </row>
    <row r="19" spans="1:11">
      <c r="A19" s="451" t="str">
        <f>Datos!A19</f>
        <v xml:space="preserve">Jdos. de Menores                                </v>
      </c>
      <c r="B19" s="515">
        <f>IF(ISNUMBER((Datos!I19-Datos!S19)/Datos!S19),(Datos!I19-Datos!S19)/Datos!S19," - ")</f>
        <v>-0.13375796178343949</v>
      </c>
      <c r="C19" s="516">
        <f>IF(ISNUMBER((Datos!J19-Datos!T19)/Datos!T19),(Datos!J19-Datos!T19)/Datos!T19," - ")</f>
        <v>-0.28000000000000003</v>
      </c>
      <c r="D19" s="516">
        <f>IF(ISNUMBER((Datos!K19-Datos!U19)/Datos!U19),(Datos!K19-Datos!U19)/Datos!U19," - ")</f>
        <v>0.55000000000000004</v>
      </c>
      <c r="E19" s="516">
        <f>IF(ISNUMBER((Datos!L19-Datos!V19)/Datos!V19),(Datos!L19-Datos!V19)/Datos!V19," - ")</f>
        <v>-0.2917933130699088</v>
      </c>
      <c r="F19" s="516">
        <f>IF(ISNUMBER((Datos!M19-Datos!W19)/Datos!W19),(Datos!M19-Datos!W19)/Datos!W19," - ")</f>
        <v>-7.8947368421052627E-2</v>
      </c>
      <c r="G19" s="517">
        <f>IF(ISNUMBER((Datos!N19-Datos!X19)/Datos!X19),(Datos!N19-Datos!X19)/Datos!X19," - ")</f>
        <v>0.96153846153846156</v>
      </c>
      <c r="H19" s="515">
        <f>IF(ISNUMBER(((NºAsuntos!G19/NºAsuntos!E19)-Datos!BD19)/Datos!BD19),((NºAsuntos!G19/NºAsuntos!E19)-Datos!BD19)/Datos!BD19," - ")</f>
        <v>1.1527777777777777</v>
      </c>
      <c r="I19" s="516">
        <f>IF(ISNUMBER(((NºAsuntos!I19/NºAsuntos!G19)-Datos!BE19)/Datos!BE19),((NºAsuntos!I19/NºAsuntos!G19)-Datos!BE19)/Datos!BE19," - ")</f>
        <v>-0.54309246004510248</v>
      </c>
      <c r="J19" s="522">
        <f>IF(ISNUMBER((('Resol  Asuntos'!D19/NºAsuntos!G19)-Datos!BF19)/Datos!BF19),(('Resol  Asuntos'!D19/NºAsuntos!G19)-Datos!BF19)/Datos!BF19," - ")</f>
        <v>-0.40577249575551783</v>
      </c>
      <c r="K19" s="523">
        <f>IF(ISNUMBER((((NºAsuntos!C19+NºAsuntos!E19)/NºAsuntos!G19)-Datos!BG19)/Datos!BG19),(((NºAsuntos!C19+NºAsuntos!E19)/NºAsuntos!G19)-Datos!BG19)/Datos!BG19," - ")</f>
        <v>-0.45932498548801726</v>
      </c>
    </row>
    <row r="20" spans="1:11">
      <c r="A20" s="451" t="str">
        <f>Datos!A20</f>
        <v xml:space="preserve">Jdos. Vigilancia Penitenciaria                  </v>
      </c>
      <c r="B20" s="515">
        <f>IF(ISNUMBER((Datos!I20-Datos!S20)/Datos!S20),(Datos!I20-Datos!S20)/Datos!S20," - ")</f>
        <v>-0.23255813953488372</v>
      </c>
      <c r="C20" s="516">
        <f>IF(ISNUMBER((Datos!J20-Datos!T20)/Datos!T20),(Datos!J20-Datos!T20)/Datos!T20," - ")</f>
        <v>0.34306569343065696</v>
      </c>
      <c r="D20" s="516">
        <f>IF(ISNUMBER((Datos!K20-Datos!U20)/Datos!U20),(Datos!K20-Datos!U20)/Datos!U20," - ")</f>
        <v>7.2847682119205295E-2</v>
      </c>
      <c r="E20" s="516">
        <f>IF(ISNUMBER((Datos!L20-Datos!V20)/Datos!V20),(Datos!L20-Datos!V20)/Datos!V20," - ")</f>
        <v>0.89655172413793105</v>
      </c>
      <c r="F20" s="516" t="str">
        <f>IF(ISNUMBER((Datos!M20-Datos!W20)/Datos!W20),(Datos!M20-Datos!W20)/Datos!W20," - ")</f>
        <v xml:space="preserve"> - </v>
      </c>
      <c r="G20" s="517">
        <f>IF(ISNUMBER((Datos!N20-Datos!X20)/Datos!X20),(Datos!N20-Datos!X20)/Datos!X20," - ")</f>
        <v>7.2847682119205295E-2</v>
      </c>
      <c r="H20" s="515">
        <f>IF(ISNUMBER(((NºAsuntos!G20/NºAsuntos!E20)-Datos!BD20)/Datos!BD20),((NºAsuntos!G20/NºAsuntos!E20)-Datos!BD20)/Datos!BD20," - ")</f>
        <v>-0.20119493233515698</v>
      </c>
      <c r="I20" s="516">
        <f>IF(ISNUMBER(((NºAsuntos!I20/NºAsuntos!G20)-Datos!BE20)/Datos!BE20),((NºAsuntos!I20/NºAsuntos!G20)-Datos!BE20)/Datos!BE20," - ")</f>
        <v>0.76777352064708382</v>
      </c>
      <c r="J20" s="522" t="str">
        <f>IF(ISNUMBER((('Resol  Asuntos'!D20/NºAsuntos!G20)-Datos!BF20)/Datos!BF20),(('Resol  Asuntos'!D20/NºAsuntos!G20)-Datos!BF20)/Datos!BF20," - ")</f>
        <v xml:space="preserve"> - </v>
      </c>
      <c r="K20" s="523">
        <f>IF(ISNUMBER((((NºAsuntos!C20+NºAsuntos!E20)/NºAsuntos!G20)-Datos!BG20)/Datos!BG20),(((NºAsuntos!C20+NºAsuntos!E20)/NºAsuntos!G20)-Datos!BG20)/Datos!BG20," - ")</f>
        <v>0.12369684499314117</v>
      </c>
    </row>
    <row r="21" spans="1:11">
      <c r="A21" s="451" t="str">
        <f>Datos!A21</f>
        <v xml:space="preserve">Jdos. de lo Penal                               </v>
      </c>
      <c r="B21" s="515">
        <f>IF(ISNUMBER((Datos!I21-Datos!S21)/Datos!S21),(Datos!I21-Datos!S21)/Datos!S21," - ")</f>
        <v>0.45985401459854014</v>
      </c>
      <c r="C21" s="516">
        <f>IF(ISNUMBER((Datos!J21-Datos!T21)/Datos!T21),(Datos!J21-Datos!T21)/Datos!T21," - ")</f>
        <v>-1.3513513513513514E-2</v>
      </c>
      <c r="D21" s="516">
        <f>IF(ISNUMBER((Datos!K21-Datos!U21)/Datos!U21),(Datos!K21-Datos!U21)/Datos!U21," - ")</f>
        <v>1.3648648648648649</v>
      </c>
      <c r="E21" s="516">
        <f>IF(ISNUMBER((Datos!L21-Datos!V21)/Datos!V21),(Datos!L21-Datos!V21)/Datos!V21," - ")</f>
        <v>0.17731958762886599</v>
      </c>
      <c r="F21" s="516">
        <f>IF(ISNUMBER((Datos!M21-Datos!W21)/Datos!W21),(Datos!M21-Datos!W21)/Datos!W21," - ")</f>
        <v>1.75</v>
      </c>
      <c r="G21" s="517">
        <f>IF(ISNUMBER((Datos!N21-Datos!X21)/Datos!X21),(Datos!N21-Datos!X21)/Datos!X21," - ")</f>
        <v>0.45454545454545453</v>
      </c>
      <c r="H21" s="515">
        <f>IF(ISNUMBER(((NºAsuntos!G21/NºAsuntos!E21)-Datos!BD21)/Datos!BD21),((NºAsuntos!G21/NºAsuntos!E21)-Datos!BD21)/Datos!BD21," - ")</f>
        <v>1.3972602739726026</v>
      </c>
      <c r="I21" s="516">
        <f>IF(ISNUMBER(((NºAsuntos!I21/NºAsuntos!G21)-Datos!BE21)/Datos!BE21),((NºAsuntos!I21/NºAsuntos!G21)-Datos!BE21)/Datos!BE21," - ")</f>
        <v>-0.50216200294550817</v>
      </c>
      <c r="J21" s="522">
        <f>IF(ISNUMBER((('Resol  Asuntos'!D21/NºAsuntos!G21)-Datos!BF21)/Datos!BF21),(('Resol  Asuntos'!D21/NºAsuntos!G21)-Datos!BF21)/Datos!BF21," - ")</f>
        <v>0.16285714285714284</v>
      </c>
      <c r="K21" s="523">
        <f>IF(ISNUMBER((((NºAsuntos!C21+NºAsuntos!E21)/NºAsuntos!G21)-Datos!BG21)/Datos!BG21),(((NºAsuntos!C21+NºAsuntos!E21)/NºAsuntos!G21)-Datos!BG21)/Datos!BG21," - ")</f>
        <v>-0.43568617429082551</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4.8462929475587703E-2</v>
      </c>
      <c r="C23" s="1155">
        <f>IF(ISNUMBER(
   IF(Criterios!B14="SI",(Datos!J23-Datos!T23)/Datos!T23,(Datos!J23+Datos!AD23-(Datos!T23+Datos!AL23))/(Datos!T23+Datos!AL23))
     ),IF(Criterios!B14="SI",(Datos!J23-Datos!T23)/Datos!T23,(Datos!J23+Datos!AD23-(Datos!T23+Datos!AL23))/(Datos!T23+Datos!AL23))," - ")</f>
        <v>2.4581005586592177E-2</v>
      </c>
      <c r="D23" s="1155">
        <f>IF(ISNUMBER(
   IF(Criterios!B14="SI",(Datos!K23-Datos!U23)/Datos!U23,(Datos!K23+Datos!AE23-(Datos!U23+Datos!AM23))/(Datos!U23+Datos!AM23))
     ),IF(Criterios!B14="SI",(Datos!K23-Datos!U23)/Datos!U23,(Datos!K23+Datos!AE23-(Datos!U23+Datos!AM23))/(Datos!U23+Datos!AM23))," - ")</f>
        <v>6.5796937039137832E-2</v>
      </c>
      <c r="E23" s="1155">
        <f>IF(ISNUMBER(
   IF(Criterios!B14="SI",(Datos!L23-Datos!V23)/Datos!V23,(Datos!L23+Datos!AF23-(Datos!V23+Datos!AN23))/(Datos!V23+Datos!AN23))
     ),IF(Criterios!B14="SI",(Datos!L23-Datos!V23)/Datos!V23,(Datos!L23+Datos!AF23-(Datos!V23+Datos!AN23))/(Datos!V23+Datos!AN23))," - ")</f>
        <v>2.2889842632331903E-2</v>
      </c>
      <c r="F23" s="1156">
        <f>IF(ISNUMBER((Datos!M23-Datos!W23)/Datos!W23),(Datos!M23-Datos!W23)/Datos!W23," - ")</f>
        <v>0.35205992509363299</v>
      </c>
      <c r="G23" s="1157">
        <f>IF(ISNUMBER((Datos!N23-Datos!X23)/Datos!X23),(Datos!N23-Datos!X23)/Datos!X23," - ")</f>
        <v>9.5145631067961159E-2</v>
      </c>
      <c r="H23" s="1157">
        <f>IF(ISNUMBER(((NºAsuntos!G23/NºAsuntos!E23)-Datos!BD23)/Datos!BD23),((NºAsuntos!G23/NºAsuntos!E23)-Datos!BD23)/Datos!BD23," - ")</f>
        <v>4.0227108669605487E-2</v>
      </c>
      <c r="I23" s="1157">
        <f>IF(ISNUMBER(((NºAsuntos!I23/NºAsuntos!G23)-Datos!BE23)/Datos!BE23),((NºAsuntos!I23/NºAsuntos!G23)-Datos!BE23)/Datos!BE23," - ")</f>
        <v>-4.0258226417881279E-2</v>
      </c>
      <c r="J23" s="1157">
        <f>IF(ISNUMBER((('Resol  Asuntos'!D23/NºAsuntos!G23)-Datos!BF23)/Datos!BF23),(('Resol  Asuntos'!D23/NºAsuntos!G23)-Datos!BF23)/Datos!BF23," - ")</f>
        <v>0.26859055238960861</v>
      </c>
      <c r="K23" s="1157">
        <f>IF(ISNUMBER((((NºAsuntos!C23+NºAsuntos!E23)/NºAsuntos!G23)-Datos!BG23)/Datos!BG23),(((NºAsuntos!C23+NºAsuntos!E23)/NºAsuntos!G23)-Datos!BG23)/Datos!BG23," - ")</f>
        <v>-2.5069504121175208E-2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f>IF(ISNUMBER((Datos!I25-Datos!S25)/Datos!S25),(Datos!I25-Datos!S25)/Datos!S25," - ")</f>
        <v>-0.30239099859353025</v>
      </c>
      <c r="C25" s="516">
        <f>IF(ISNUMBER((Datos!J25-Datos!T25)/Datos!T25),(Datos!J25-Datos!T25)/Datos!T25," - ")</f>
        <v>-0.63101604278074863</v>
      </c>
      <c r="D25" s="516">
        <f>IF(ISNUMBER((Datos!K25-Datos!U25)/Datos!U25),(Datos!K25-Datos!U25)/Datos!U25," - ")</f>
        <v>-0.57170542635658916</v>
      </c>
      <c r="E25" s="516">
        <f>IF(ISNUMBER((Datos!L25-Datos!V25)/Datos!V25),(Datos!L25-Datos!V25)/Datos!V25," - ")</f>
        <v>-0.26876090750436299</v>
      </c>
      <c r="F25" s="516">
        <f>IF(ISNUMBER((Datos!M25-Datos!W25)/Datos!W25),(Datos!M25-Datos!W25)/Datos!W25," - ")</f>
        <v>-0.63666666666666671</v>
      </c>
      <c r="G25" s="517">
        <f>IF(ISNUMBER((Datos!N25-Datos!X25)/Datos!X25),(Datos!N25-Datos!X25)/Datos!X25," - ")</f>
        <v>-0.73770491803278693</v>
      </c>
      <c r="H25" s="515">
        <f>IF(ISNUMBER(((NºAsuntos!G25/NºAsuntos!E25)-Datos!BD25)/Datos!BD25),((NºAsuntos!G25/NºAsuntos!E25)-Datos!BD25)/Datos!BD25," - ")</f>
        <v>0.16074036625098306</v>
      </c>
      <c r="I25" s="516">
        <f>IF(ISNUMBER(((NºAsuntos!I25/NºAsuntos!G25)-Datos!BE25)/Datos!BE25),((NºAsuntos!I25/NºAsuntos!G25)-Datos!BE25)/Datos!BE25," - ")</f>
        <v>0.70732747388121575</v>
      </c>
      <c r="J25" s="522">
        <f>IF(ISNUMBER((('Resol  Asuntos'!D25/NºAsuntos!G25)-Datos!BF25)/Datos!BF25),(('Resol  Asuntos'!D25/NºAsuntos!G25)-Datos!BF25)/Datos!BF25," - ")</f>
        <v>-0.15167420814479637</v>
      </c>
      <c r="K25" s="523">
        <f>IF(ISNUMBER((((NºAsuntos!C25+NºAsuntos!E25)/NºAsuntos!G25)-Datos!BG25)/Datos!BG25),(((NºAsuntos!C25+NºAsuntos!E25)/NºAsuntos!G25)-Datos!BG25)/Datos!BG25," - ")</f>
        <v>0.36432220530892245</v>
      </c>
    </row>
    <row r="26" spans="1:11" ht="14.25" thickTop="1" thickBot="1">
      <c r="A26" s="1148" t="str">
        <f>Datos!A26</f>
        <v>TOTAL</v>
      </c>
      <c r="B26" s="1154">
        <f>IF(ISNUMBER((Datos!I26-Datos!S26)/Datos!S26),(Datos!I26-Datos!S26)/Datos!S26," - ")</f>
        <v>-0.30239099859353025</v>
      </c>
      <c r="C26" s="1155">
        <f>IF(ISNUMBER((Datos!J26-Datos!T26)/Datos!T26),(Datos!J26-Datos!T26)/Datos!T26," - ")</f>
        <v>-0.63101604278074863</v>
      </c>
      <c r="D26" s="1155">
        <f>IF(ISNUMBER((Datos!K26-Datos!U26)/Datos!U26),(Datos!K26-Datos!U26)/Datos!U26," - ")</f>
        <v>-0.57170542635658916</v>
      </c>
      <c r="E26" s="1155">
        <f>IF(ISNUMBER((Datos!L26-Datos!V26)/Datos!V26),(Datos!L26-Datos!V26)/Datos!V26," - ")</f>
        <v>-0.26876090750436299</v>
      </c>
      <c r="F26" s="1156">
        <f>IF(ISNUMBER((Datos!M26-Datos!W26)/Datos!W26),(Datos!M26-Datos!W26)/Datos!W26," - ")</f>
        <v>-0.63666666666666671</v>
      </c>
      <c r="G26" s="1157">
        <f>IF(ISNUMBER((Datos!N26-Datos!X26)/Datos!X26),(Datos!N26-Datos!X26)/Datos!X26," - ")</f>
        <v>-0.73770491803278693</v>
      </c>
      <c r="H26" s="1157">
        <f>IF(ISNUMBER(((NºAsuntos!G26/NºAsuntos!E26)-Datos!BD26)/Datos!BD26),((NºAsuntos!G26/NºAsuntos!E26)-Datos!BD26)/Datos!BD26," - ")</f>
        <v>0.16074036625098306</v>
      </c>
      <c r="I26" s="1157">
        <f>IF(ISNUMBER(((NºAsuntos!I26/NºAsuntos!G26)-Datos!BE26)/Datos!BE26),((NºAsuntos!I26/NºAsuntos!G26)-Datos!BE26)/Datos!BE26," - ")</f>
        <v>0.70732747388121575</v>
      </c>
      <c r="J26" s="1157">
        <f>IF(ISNUMBER((('Resol  Asuntos'!D26/NºAsuntos!G26)-Datos!BF26)/Datos!BF26),(('Resol  Asuntos'!D26/NºAsuntos!G26)-Datos!BF26)/Datos!BF26," - ")</f>
        <v>-0.15167420814479637</v>
      </c>
      <c r="K26" s="1157">
        <f>IF(ISNUMBER((((NºAsuntos!C26+NºAsuntos!E26)/NºAsuntos!G26)-Datos!BG26)/Datos!BG26),(((NºAsuntos!C26+NºAsuntos!E26)/NºAsuntos!G26)-Datos!BG26)/Datos!BG26," - ")</f>
        <v>0.36432220530892245</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0.78643216080402012</v>
      </c>
      <c r="C28" s="516">
        <f>IF(ISNUMBER((Datos!J28-Datos!T28)/Datos!T28),(Datos!J28-Datos!T28)/Datos!T28," - ")</f>
        <v>-0.21982758620689655</v>
      </c>
      <c r="D28" s="516">
        <f>IF(ISNUMBER((Datos!K28-Datos!U28)/Datos!U28),(Datos!K28-Datos!U28)/Datos!U28," - ")</f>
        <v>-2.5316455696202531E-2</v>
      </c>
      <c r="E28" s="516">
        <f>IF(ISNUMBER((Datos!L28-Datos!V28)/Datos!V28),(Datos!L28-Datos!V28)/Datos!V28," - ")</f>
        <v>0.44283121597096187</v>
      </c>
      <c r="F28" s="516">
        <f>IF(ISNUMBER((Datos!M28-Datos!W28)/Datos!W28),(Datos!M28-Datos!W28)/Datos!W28," - ")</f>
        <v>-0.1891891891891892</v>
      </c>
      <c r="G28" s="517" t="str">
        <f>IF(ISNUMBER((Datos!N28-Datos!X28)/Datos!X28),(Datos!N28-Datos!X28)/Datos!X28," - ")</f>
        <v xml:space="preserve"> - </v>
      </c>
      <c r="H28" s="515">
        <f>IF(ISNUMBER(((NºAsuntos!G28/NºAsuntos!E28)-Datos!BD28)/Datos!BD28),((NºAsuntos!G28/NºAsuntos!E28)-Datos!BD28)/Datos!BD28," - ")</f>
        <v>0.24931813413525433</v>
      </c>
      <c r="I28" s="516">
        <f>IF(ISNUMBER(((NºAsuntos!I28/NºAsuntos!G28)-Datos!BE28)/Datos!BE28),((NºAsuntos!I28/NºAsuntos!G28)-Datos!BE28)/Datos!BE28," - ")</f>
        <v>0.48030735145072706</v>
      </c>
      <c r="J28" s="522">
        <f>IF(ISNUMBER((('Resol  Asuntos'!D28/NºAsuntos!G28)-Datos!BF28)/Datos!BF28),(('Resol  Asuntos'!D28/NºAsuntos!G28)-Datos!BF28)/Datos!BF28," - ")</f>
        <v>-0.16812916812916809</v>
      </c>
      <c r="K28" s="523">
        <f>IF(ISNUMBER((((NºAsuntos!C28+NºAsuntos!E28)/NºAsuntos!G28)-Datos!BG28)/Datos!BG28),(((NºAsuntos!C28+NºAsuntos!E28)/NºAsuntos!G28)-Datos!BG28)/Datos!BG28," - ")</f>
        <v>0.45264893836322406</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0.78643216080402012</v>
      </c>
      <c r="C30" s="1155">
        <f>IF(ISNUMBER((Datos!J30-Datos!T30)/Datos!T30),(Datos!J30-Datos!T30)/Datos!T30," - ")</f>
        <v>-0.21982758620689655</v>
      </c>
      <c r="D30" s="1155">
        <f>IF(ISNUMBER((Datos!K30-Datos!U30)/Datos!U30),(Datos!K30-Datos!U30)/Datos!U30," - ")</f>
        <v>-2.5316455696202531E-2</v>
      </c>
      <c r="E30" s="1155">
        <f>IF(ISNUMBER((Datos!L30-Datos!V30)/Datos!V30),(Datos!L30-Datos!V30)/Datos!V30," - ")</f>
        <v>0.44283121597096187</v>
      </c>
      <c r="F30" s="1156">
        <f>IF(ISNUMBER((Datos!M30-Datos!W30)/Datos!W30),(Datos!M30-Datos!W30)/Datos!W30," - ")</f>
        <v>-0.1891891891891892</v>
      </c>
      <c r="G30" s="1157" t="str">
        <f>IF(ISNUMBER((Datos!N30-Datos!X30)/Datos!X30),(Datos!N30-Datos!X30)/Datos!X30," - ")</f>
        <v xml:space="preserve"> - </v>
      </c>
      <c r="H30" s="1157">
        <f>IF(ISNUMBER(((NºAsuntos!G30/NºAsuntos!E30)-Datos!BD30)/Datos!BD30),((NºAsuntos!G30/NºAsuntos!E30)-Datos!BD30)/Datos!BD30," - ")</f>
        <v>0.24931813413525433</v>
      </c>
      <c r="I30" s="1157">
        <f>IF(ISNUMBER(((NºAsuntos!I30/NºAsuntos!G30)-Datos!BE30)/Datos!BE30),((NºAsuntos!I30/NºAsuntos!G30)-Datos!BE30)/Datos!BE30," - ")</f>
        <v>0.48030735145072706</v>
      </c>
      <c r="J30" s="1157">
        <f>IF(ISNUMBER((('Resol  Asuntos'!D30/NºAsuntos!G30)-Datos!BF30)/Datos!BF30),(('Resol  Asuntos'!D30/NºAsuntos!G30)-Datos!BF30)/Datos!BF30," - ")</f>
        <v>-0.16812916812916809</v>
      </c>
      <c r="K30" s="1157">
        <f>IF(ISNUMBER((((NºAsuntos!C30+NºAsuntos!E30)/NºAsuntos!G30)-Datos!BG30)/Datos!BG30),(((NºAsuntos!C30+NºAsuntos!E30)/NºAsuntos!G30)-Datos!BG30)/Datos!BG30," - ")</f>
        <v>0.45264893836322406</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5.7745187901008251E-2</v>
      </c>
      <c r="C31" s="1095">
        <f>IF(ISNUMBER(
   IF(J_V="SI",(Datos!J31-Datos!T31)/Datos!T31,(Datos!J31+Datos!Z31-(Datos!T31+Datos!AH31))/(Datos!T31+Datos!AH31))
     ),IF(J_V="SI",(Datos!J31-Datos!T31)/Datos!T31,(Datos!J31+Datos!Z31-(Datos!T31+Datos!AH31))/(Datos!T31+Datos!AH31))," - ")</f>
        <v>-8.1652257444764648E-2</v>
      </c>
      <c r="D31" s="1095">
        <f>IF(ISNUMBER(
   IF(J_V="SI",(Datos!K31-Datos!U31)/Datos!U31,(Datos!K31+Datos!AA31-(Datos!U31+Datos!AI31))/(Datos!U31+Datos!AI31))
     ),IF(J_V="SI",(Datos!K31-Datos!U31)/Datos!U31,(Datos!K31+Datos!AA31-(Datos!U31+Datos!AI31))/(Datos!U31+Datos!AI31))," - ")</f>
        <v>-7.3346430910281604E-2</v>
      </c>
      <c r="E31" s="1095">
        <f>IF(ISNUMBER(
   IF(J_V="SI",(Datos!L31-Datos!V31)/Datos!V31,(Datos!L31+Datos!AB31-(Datos!V31+Datos!AJ31))/(Datos!V31+Datos!AJ31))
     ),IF(J_V="SI",(Datos!L31-Datos!V31)/Datos!V31,(Datos!L31+Datos!AB31-(Datos!V31+Datos!AJ31))/(Datos!V31+Datos!AJ31))," - ")</f>
        <v>6.1279826464208244E-2</v>
      </c>
      <c r="F31" s="1096">
        <f>IF(ISNUMBER((Datos!M31-Datos!W31)/Datos!W31),(Datos!M31-Datos!W31)/Datos!W31," - ")</f>
        <v>-0.17062937062937064</v>
      </c>
      <c r="G31" s="1097">
        <f>IF(ISNUMBER((Datos!N31-Datos!X31)/Datos!X31),(Datos!N31-Datos!X31)/Datos!X31," - ")</f>
        <v>-0.15303119482048264</v>
      </c>
      <c r="H31" s="1098">
        <f>IF(ISNUMBER((Tasas!B31-Datos!BD31)/Datos!BD31),(Tasas!B31-Datos!BD31)/Datos!BD31," - ")</f>
        <v>9.0443152953942132E-3</v>
      </c>
      <c r="I31" s="1099">
        <f>IF(ISNUMBER((Tasas!C31-Datos!BE31)/Datos!BE31),(Tasas!C31-Datos!BE31)/Datos!BE31," - ")</f>
        <v>0.14528218728681699</v>
      </c>
      <c r="J31" s="1100">
        <f>IF(ISNUMBER((Tasas!D31-Datos!BF31)/Datos!BF31),(Tasas!D31-Datos!BF31)/Datos!BF31," - ")</f>
        <v>-0.22899144280301417</v>
      </c>
      <c r="K31" s="1100">
        <f>IF(ISNUMBER((Tasas!E31-Datos!BG31)/Datos!BG31),(Tasas!E31-Datos!BG31)/Datos!BG31," - ")</f>
        <v>8.6700220055083821E-2</v>
      </c>
    </row>
    <row r="32" spans="1:11">
      <c r="A32" s="460"/>
      <c r="B32" s="460"/>
      <c r="C32" s="460"/>
      <c r="D32" s="460"/>
      <c r="E32" s="460"/>
    </row>
    <row r="33" spans="1:12" ht="70.5" customHeight="1">
      <c r="A33" s="1582" t="s">
        <v>197</v>
      </c>
      <c r="B33" s="1582"/>
      <c r="C33" s="1582"/>
      <c r="D33" s="1582"/>
      <c r="E33" s="1582"/>
      <c r="F33" s="1582"/>
      <c r="G33" s="1582"/>
      <c r="H33" s="1582"/>
      <c r="I33" s="1582"/>
      <c r="J33" s="1582"/>
      <c r="K33" s="1582"/>
    </row>
    <row r="34" spans="1:12">
      <c r="A34" s="1581"/>
      <c r="B34" s="1581"/>
      <c r="C34" s="462"/>
      <c r="D34" s="462"/>
      <c r="E34" s="462"/>
    </row>
    <row r="35" spans="1:12">
      <c r="A35" s="440" t="str">
        <f>Criterios!A4</f>
        <v>Fecha Informe: 25 nov. 2021</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AlADFsqTFeSCouRD9dtCZ2jzYinJbgLpiaXvohKzYBPYyopFOAOWXDArXQxJFVDZPrnfKOHuDFvs/mfNsT5f1A==" saltValue="WmrptOr2h9tEOpDGvmNp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ANDALUCIA</v>
      </c>
    </row>
    <row r="3" spans="1:7" ht="19.5">
      <c r="A3" s="492" t="s">
        <v>17</v>
      </c>
      <c r="B3" s="440" t="str">
        <f>Criterios!A10 &amp;"  "&amp;Criterios!B10</f>
        <v>Provincias  MALAGA</v>
      </c>
    </row>
    <row r="4" spans="1:7" ht="11.25" customHeight="1" thickBot="1">
      <c r="B4" s="440" t="str">
        <f>Criterios!A11 &amp;"  "&amp;Criterios!B11</f>
        <v>Resumenes por Partidos Judiciales  MELILLA</v>
      </c>
    </row>
    <row r="5" spans="1:7" ht="12.75" customHeight="1">
      <c r="A5" s="1562" t="str">
        <f>"Año:  " &amp;Criterios!B5 &amp; "    Trimestre   " &amp;Criterios!D5 &amp; " al " &amp;Criterios!D6</f>
        <v>Año:  2021    Trimestre   3 al 3</v>
      </c>
      <c r="B5" s="1556" t="s">
        <v>126</v>
      </c>
      <c r="C5" s="1556" t="s">
        <v>127</v>
      </c>
      <c r="D5" s="1556" t="s">
        <v>128</v>
      </c>
      <c r="E5" s="1556" t="s">
        <v>129</v>
      </c>
      <c r="G5" s="524"/>
    </row>
    <row r="6" spans="1:7" ht="12.75" customHeight="1">
      <c r="A6" s="1563"/>
      <c r="B6" s="1594"/>
      <c r="C6" s="1594"/>
      <c r="D6" s="1594"/>
      <c r="E6" s="1594"/>
      <c r="G6" s="524"/>
    </row>
    <row r="7" spans="1:7" ht="30.75" customHeight="1" thickBot="1">
      <c r="A7" s="493" t="str">
        <f>Datos!A7</f>
        <v>COMPETENCIAS</v>
      </c>
      <c r="B7" s="1595"/>
      <c r="C7" s="1595"/>
      <c r="D7" s="1595"/>
      <c r="E7" s="1595"/>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1.5555555555555556</v>
      </c>
      <c r="C10" s="499">
        <f>IF(ISNUMBER(NºAsuntos!I10/NºAsuntos!G10),NºAsuntos!I10/NºAsuntos!G10," - ")</f>
        <v>2.5714285714285716</v>
      </c>
      <c r="D10" s="500">
        <f>IF(ISNUMBER('Resol  Asuntos'!D10/NºAsuntos!G10),'Resol  Asuntos'!D10/NºAsuntos!G10," - ")</f>
        <v>0.42857142857142855</v>
      </c>
      <c r="E10" s="501">
        <f>IF(ISNUMBER((NºAsuntos!C10+NºAsuntos!E10)/NºAsuntos!G10),(NºAsuntos!C10+NºAsuntos!E10)/NºAsuntos!G10," - ")</f>
        <v>3.5714285714285716</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0.90509915014164311</v>
      </c>
      <c r="C12" s="499">
        <f>IF(ISNUMBER(NºAsuntos!I12/NºAsuntos!G12),NºAsuntos!I12/NºAsuntos!G12," - ")</f>
        <v>2.755868544600939</v>
      </c>
      <c r="D12" s="500">
        <f>IF(ISNUMBER('Resol  Asuntos'!D12/NºAsuntos!G12),'Resol  Asuntos'!D12/NºAsuntos!G12," - ")</f>
        <v>0.13615023474178403</v>
      </c>
      <c r="E12" s="501">
        <f>IF(ISNUMBER((NºAsuntos!C12+NºAsuntos!E12)/NºAsuntos!G12),(NºAsuntos!C12+NºAsuntos!E12)/NºAsuntos!G12," - ")</f>
        <v>3.6447574334898278</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0.91328671328671329</v>
      </c>
      <c r="C14" s="1159">
        <f>IF(ISNUMBER(NºAsuntos!I14/NºAsuntos!G14),NºAsuntos!I14/NºAsuntos!G14," - ")</f>
        <v>2.7519142419601836</v>
      </c>
      <c r="D14" s="1160">
        <f>IF(ISNUMBER('Resol  Asuntos'!D14/NºAsuntos!G14),'Resol  Asuntos'!D14/NºAsuntos!G14," - ")</f>
        <v>0.14241960183767227</v>
      </c>
      <c r="E14" s="1161">
        <f>IF(ISNUMBER((NºAsuntos!C14+NºAsuntos!E14)/NºAsuntos!G14),(NºAsuntos!C14+NºAsuntos!E14)/NºAsuntos!G14," - ")</f>
        <v>3.6431852986217459</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1.0007668711656441</v>
      </c>
      <c r="C17" s="499">
        <f>IF(ISNUMBER(NºAsuntos!I17/NºAsuntos!G17),NºAsuntos!I17/NºAsuntos!G17," - ")</f>
        <v>1.4704980842911877</v>
      </c>
      <c r="D17" s="500">
        <f>IF(ISNUMBER('Resol  Asuntos'!D17/NºAsuntos!G17),'Resol  Asuntos'!D17/NºAsuntos!G17," - ")</f>
        <v>0.13026819923371646</v>
      </c>
      <c r="E17" s="501">
        <f>IF(ISNUMBER((NºAsuntos!C17+NºAsuntos!E17)/NºAsuntos!G17),(NºAsuntos!C17+NºAsuntos!E17)/NºAsuntos!G17," - ")</f>
        <v>2.4659003831417623</v>
      </c>
      <c r="G17" s="524"/>
    </row>
    <row r="18" spans="1:7">
      <c r="A18" s="451" t="str">
        <f>Datos!A18</f>
        <v>Jdos. Violencia contra la mujer</v>
      </c>
      <c r="B18" s="498">
        <f>IF(ISNUMBER(NºAsuntos!G18/NºAsuntos!E18),NºAsuntos!G18/NºAsuntos!E18," - ")</f>
        <v>0.98630136986301364</v>
      </c>
      <c r="C18" s="499">
        <f>IF(ISNUMBER(NºAsuntos!I18/NºAsuntos!G18),NºAsuntos!I18/NºAsuntos!G18," - ")</f>
        <v>0.56944444444444442</v>
      </c>
      <c r="D18" s="500">
        <f>IF(ISNUMBER('Resol  Asuntos'!D18/NºAsuntos!G18),'Resol  Asuntos'!D18/NºAsuntos!G18," - ")</f>
        <v>9.0277777777777776E-2</v>
      </c>
      <c r="E18" s="501">
        <f>IF(ISNUMBER((NºAsuntos!C18+NºAsuntos!E18)/NºAsuntos!G18),(NºAsuntos!C18+NºAsuntos!E18)/NºAsuntos!G18," - ")</f>
        <v>1.5694444444444444</v>
      </c>
      <c r="G18" s="524"/>
    </row>
    <row r="19" spans="1:7">
      <c r="A19" s="451" t="str">
        <f>Datos!A19</f>
        <v xml:space="preserve">Jdos. de Menores                                </v>
      </c>
      <c r="B19" s="498">
        <f>IF(ISNUMBER(NºAsuntos!G19/NºAsuntos!E19),NºAsuntos!G19/NºAsuntos!E19," - ")</f>
        <v>1.7222222222222223</v>
      </c>
      <c r="C19" s="499">
        <f>IF(ISNUMBER(NºAsuntos!I19/NºAsuntos!G19),NºAsuntos!I19/NºAsuntos!G19," - ")</f>
        <v>2.5053763440860215</v>
      </c>
      <c r="D19" s="500">
        <f>IF(ISNUMBER('Resol  Asuntos'!D19/NºAsuntos!G19),'Resol  Asuntos'!D19/NºAsuntos!G19," - ")</f>
        <v>0.37634408602150538</v>
      </c>
      <c r="E19" s="501">
        <f>IF(ISNUMBER((NºAsuntos!C19+NºAsuntos!E19)/NºAsuntos!G19),(NºAsuntos!C19+NºAsuntos!E19)/NºAsuntos!G19," - ")</f>
        <v>3.5053763440860215</v>
      </c>
      <c r="G19" s="524"/>
    </row>
    <row r="20" spans="1:7">
      <c r="A20" s="451" t="str">
        <f>Datos!A20</f>
        <v xml:space="preserve">Jdos. Vigilancia Penitenciaria                  </v>
      </c>
      <c r="B20" s="498">
        <f>IF(ISNUMBER(NºAsuntos!G20/NºAsuntos!E20),NºAsuntos!G20/NºAsuntos!E20," - ")</f>
        <v>0.88043478260869568</v>
      </c>
      <c r="C20" s="499">
        <f>IF(ISNUMBER(NºAsuntos!I20/NºAsuntos!G20),NºAsuntos!I20/NºAsuntos!G20," - ")</f>
        <v>0.33950617283950618</v>
      </c>
      <c r="D20" s="500" t="str">
        <f>IF(ISNUMBER('Resol  Asuntos'!D20/NºAsuntos!G20),'Resol  Asuntos'!D20/NºAsuntos!G20," - ")</f>
        <v xml:space="preserve"> - </v>
      </c>
      <c r="E20" s="501">
        <f>IF(ISNUMBER((NºAsuntos!C20+NºAsuntos!E20)/NºAsuntos!G20),(NºAsuntos!C20+NºAsuntos!E20)/NºAsuntos!G20," - ")</f>
        <v>1.3395061728395061</v>
      </c>
      <c r="G20" s="524"/>
    </row>
    <row r="21" spans="1:7">
      <c r="A21" s="451" t="str">
        <f>Datos!A21</f>
        <v xml:space="preserve">Jdos. de lo Penal                               </v>
      </c>
      <c r="B21" s="498">
        <f>IF(ISNUMBER(NºAsuntos!G21/NºAsuntos!E21),NºAsuntos!G21/NºAsuntos!E21," - ")</f>
        <v>1.1986301369863013</v>
      </c>
      <c r="C21" s="499">
        <f>IF(ISNUMBER(NºAsuntos!I21/NºAsuntos!G21),NºAsuntos!I21/NºAsuntos!G21," - ")</f>
        <v>3.2628571428571429</v>
      </c>
      <c r="D21" s="500">
        <f>IF(ISNUMBER('Resol  Asuntos'!D21/NºAsuntos!G21),'Resol  Asuntos'!D21/NºAsuntos!G21," - ")</f>
        <v>0.81714285714285717</v>
      </c>
      <c r="E21" s="501">
        <f>IF(ISNUMBER((NºAsuntos!C21+NºAsuntos!E21)/NºAsuntos!G21),(NºAsuntos!C21+NºAsuntos!E21)/NºAsuntos!G21," - ")</f>
        <v>4.2628571428571425</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1.0245365321701199</v>
      </c>
      <c r="C23" s="1159">
        <f>IF(ISNUMBER(NºAsuntos!I23/NºAsuntos!G23),NºAsuntos!I23/NºAsuntos!G23," - ")</f>
        <v>1.5220862160723789</v>
      </c>
      <c r="D23" s="1162">
        <f>IF(ISNUMBER('Resol  Asuntos'!D23/NºAsuntos!G23),'Resol  Asuntos'!D23/NºAsuntos!G23," - ")</f>
        <v>0.19212346993081425</v>
      </c>
      <c r="E23" s="1161">
        <f>IF(ISNUMBER((NºAsuntos!C23+NºAsuntos!E23)/NºAsuntos!G23),(NºAsuntos!C23+NºAsuntos!E23)/NºAsuntos!G23," - ")</f>
        <v>2.518893028206493</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f>IF(ISNUMBER(NºAsuntos!G25/NºAsuntos!E25),NºAsuntos!G25/NºAsuntos!E25," - ")</f>
        <v>1.6014492753623188</v>
      </c>
      <c r="C25" s="499">
        <f>IF(ISNUMBER(NºAsuntos!I25/NºAsuntos!G25),NºAsuntos!I25/NºAsuntos!G25," - ")</f>
        <v>1.8959276018099547</v>
      </c>
      <c r="D25" s="500">
        <f>IF(ISNUMBER('Resol  Asuntos'!D25/NºAsuntos!G25),'Resol  Asuntos'!D25/NºAsuntos!G25," - ")</f>
        <v>0.49321266968325794</v>
      </c>
      <c r="E25" s="501">
        <f>IF(ISNUMBER((NºAsuntos!C25+NºAsuntos!E25)/NºAsuntos!G25),(NºAsuntos!C25+NºAsuntos!E25)/NºAsuntos!G25," - ")</f>
        <v>2.8687782805429864</v>
      </c>
      <c r="G25" s="524"/>
    </row>
    <row r="26" spans="1:7" ht="14.25" thickTop="1" thickBot="1">
      <c r="A26" s="1148" t="str">
        <f>Datos!A26</f>
        <v>TOTAL</v>
      </c>
      <c r="B26" s="1158">
        <f>IF(ISNUMBER(NºAsuntos!G26/NºAsuntos!E26),NºAsuntos!G26/NºAsuntos!E26," - ")</f>
        <v>1.6014492753623188</v>
      </c>
      <c r="C26" s="1159">
        <f>IF(ISNUMBER(NºAsuntos!I26/NºAsuntos!G26),NºAsuntos!I26/NºAsuntos!G26," - ")</f>
        <v>1.8959276018099547</v>
      </c>
      <c r="D26" s="1162">
        <f>IF(ISNUMBER('Resol  Asuntos'!D26/NºAsuntos!G26),'Resol  Asuntos'!D26/NºAsuntos!G26," - ")</f>
        <v>0.49321266968325794</v>
      </c>
      <c r="E26" s="1161">
        <f>IF(ISNUMBER((NºAsuntos!C26+NºAsuntos!E26)/NºAsuntos!G26),(NºAsuntos!C26+NºAsuntos!E26)/NºAsuntos!G26," - ")</f>
        <v>2.8687782805429864</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0.425414364640884</v>
      </c>
      <c r="C28" s="499">
        <f>IF(ISNUMBER(NºAsuntos!I28/NºAsuntos!G28),NºAsuntos!I28/NºAsuntos!G28," - ")</f>
        <v>10.324675324675324</v>
      </c>
      <c r="D28" s="500">
        <f>IF(ISNUMBER('Resol  Asuntos'!D28/NºAsuntos!G28),'Resol  Asuntos'!D28/NºAsuntos!G28," - ")</f>
        <v>0.38961038961038963</v>
      </c>
      <c r="E28" s="501">
        <f>IF(ISNUMBER((NºAsuntos!C28+NºAsuntos!E28)/NºAsuntos!G28),(NºAsuntos!C28+NºAsuntos!E28)/NºAsuntos!G28," - ")</f>
        <v>11.584415584415584</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0.425414364640884</v>
      </c>
      <c r="C30" s="1159">
        <f>IF(ISNUMBER(NºAsuntos!I30/NºAsuntos!G30),NºAsuntos!I30/NºAsuntos!G30," - ")</f>
        <v>10.324675324675324</v>
      </c>
      <c r="D30" s="1162">
        <f>IF(ISNUMBER('Resol  Asuntos'!D30/NºAsuntos!G30),'Resol  Asuntos'!D30/NºAsuntos!G30," - ")</f>
        <v>0.38961038961038963</v>
      </c>
      <c r="E30" s="1161">
        <f>IF(ISNUMBER((NºAsuntos!C30+NºAsuntos!E30)/NºAsuntos!G30),(NºAsuntos!C30+NºAsuntos!E30)/NºAsuntos!G30," - ")</f>
        <v>11.584415584415584</v>
      </c>
      <c r="G30" s="524"/>
    </row>
    <row r="31" spans="1:7" ht="15.75" customHeight="1" thickTop="1" thickBot="1">
      <c r="A31" s="1086" t="str">
        <f>Datos!A31</f>
        <v>TOTAL JURISDICCIONES</v>
      </c>
      <c r="B31" s="1101">
        <f>IF(ISNUMBER(NºAsuntos!G31/NºAsuntos!E31),NºAsuntos!G31/NºAsuntos!E31," - ")</f>
        <v>0.98675034867503486</v>
      </c>
      <c r="C31" s="1102">
        <f>IF(ISNUMBER(NºAsuntos!I31/NºAsuntos!G31),NºAsuntos!I31/NºAsuntos!G31," - ")</f>
        <v>2.074558303886926</v>
      </c>
      <c r="D31" s="1103">
        <f>IF(ISNUMBER('Resol  Asuntos'!D31/NºAsuntos!G31),'Resol  Asuntos'!D31/NºAsuntos!G31," - ")</f>
        <v>0.20954063604240283</v>
      </c>
      <c r="E31" s="1104">
        <f>IF(ISNUMBER((NºAsuntos!C31+NºAsuntos!E31)/NºAsuntos!G31),(NºAsuntos!C31+NºAsuntos!E31)/NºAsuntos!G31," - ")</f>
        <v>3.0522968197879861</v>
      </c>
      <c r="G31" s="524"/>
    </row>
    <row r="32" spans="1:7">
      <c r="A32" s="460"/>
      <c r="B32" s="460"/>
      <c r="C32" s="460"/>
      <c r="G32" s="524"/>
    </row>
    <row r="33" spans="1:7">
      <c r="A33" s="462"/>
      <c r="B33" s="462"/>
      <c r="C33" s="462"/>
      <c r="G33" s="524"/>
    </row>
    <row r="34" spans="1:7">
      <c r="A34" s="1549"/>
      <c r="B34" s="1549"/>
      <c r="C34" s="1549"/>
      <c r="G34" s="524"/>
    </row>
    <row r="35" spans="1:7">
      <c r="A35" s="440" t="str">
        <f>Criterios!A4</f>
        <v>Fecha Informe: 25 nov. 2021</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W1mOd1/QuiicvF7qCtp7mEprJ2wKANi+v370rHDU6LxCJRcQy63yiD40/24E+t2jeKygnaUl08ocYoBo3c45Fg==" saltValue="2W7qzW6alhjXapD78TsP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MELILLA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39" t="s">
        <v>458</v>
      </c>
      <c r="B5" s="297"/>
      <c r="C5" s="1642" t="str">
        <f>"Año:  " &amp;Criterios!B$5 &amp; "          Trimestre   " &amp;Criterios!D$5 &amp; " al " &amp;Criterios!D$6</f>
        <v>Año:  2021          Trimestre   3 al 3</v>
      </c>
      <c r="D5" s="1599" t="s">
        <v>484</v>
      </c>
      <c r="E5" s="1599" t="s">
        <v>406</v>
      </c>
      <c r="F5" s="1644" t="s">
        <v>520</v>
      </c>
      <c r="G5" s="1647" t="s">
        <v>168</v>
      </c>
      <c r="H5" s="1606" t="s">
        <v>216</v>
      </c>
      <c r="I5" s="1606" t="s">
        <v>220</v>
      </c>
      <c r="J5" s="1606" t="s">
        <v>221</v>
      </c>
      <c r="K5" s="1606" t="s">
        <v>521</v>
      </c>
      <c r="L5" s="1606" t="s">
        <v>770</v>
      </c>
      <c r="M5" s="1606" t="s">
        <v>412</v>
      </c>
      <c r="N5" s="1606" t="s">
        <v>485</v>
      </c>
      <c r="O5" s="1606" t="s">
        <v>523</v>
      </c>
      <c r="P5" s="1606" t="s">
        <v>219</v>
      </c>
      <c r="Q5" s="1606" t="s">
        <v>56</v>
      </c>
      <c r="R5" s="1618" t="s">
        <v>222</v>
      </c>
      <c r="S5" s="1621" t="s">
        <v>225</v>
      </c>
      <c r="T5" s="1612" t="s">
        <v>226</v>
      </c>
      <c r="U5" s="1609" t="s">
        <v>227</v>
      </c>
      <c r="V5" s="1633" t="s">
        <v>410</v>
      </c>
      <c r="W5" s="1650" t="s">
        <v>228</v>
      </c>
      <c r="X5" s="1653" t="s">
        <v>229</v>
      </c>
      <c r="Y5" s="1653" t="s">
        <v>230</v>
      </c>
      <c r="Z5" s="1636" t="s">
        <v>231</v>
      </c>
      <c r="AA5" s="1624" t="s">
        <v>232</v>
      </c>
      <c r="AB5" s="1606" t="s">
        <v>233</v>
      </c>
      <c r="AC5" s="1606" t="s">
        <v>234</v>
      </c>
      <c r="AD5" s="1656" t="s">
        <v>235</v>
      </c>
      <c r="AE5" s="1599" t="s">
        <v>238</v>
      </c>
      <c r="AF5" s="1627" t="s">
        <v>236</v>
      </c>
      <c r="AG5" s="1606" t="s">
        <v>237</v>
      </c>
      <c r="AH5" s="1618" t="s">
        <v>256</v>
      </c>
      <c r="AI5" s="1624" t="s">
        <v>239</v>
      </c>
      <c r="AJ5" s="1630" t="s">
        <v>315</v>
      </c>
      <c r="AK5" s="1615" t="s">
        <v>316</v>
      </c>
      <c r="AL5" s="1599" t="s">
        <v>317</v>
      </c>
      <c r="AM5" s="1599" t="s">
        <v>466</v>
      </c>
      <c r="AN5" s="1599" t="s">
        <v>318</v>
      </c>
      <c r="AO5" s="1599" t="s">
        <v>319</v>
      </c>
      <c r="AP5" s="1599" t="s">
        <v>379</v>
      </c>
      <c r="AQ5" s="1599" t="s">
        <v>240</v>
      </c>
      <c r="AR5" s="1599" t="s">
        <v>241</v>
      </c>
      <c r="AS5" s="1599" t="s">
        <v>496</v>
      </c>
      <c r="AT5" s="1599" t="s">
        <v>368</v>
      </c>
      <c r="AU5" s="1599" t="s">
        <v>369</v>
      </c>
      <c r="AV5" s="1599" t="s">
        <v>429</v>
      </c>
      <c r="AW5" s="1599" t="s">
        <v>411</v>
      </c>
      <c r="AX5" s="1599" t="s">
        <v>1000</v>
      </c>
      <c r="AY5" s="1599" t="s">
        <v>1001</v>
      </c>
      <c r="BE5" s="1604" t="s">
        <v>257</v>
      </c>
      <c r="BF5" s="1605"/>
      <c r="BG5" s="1604" t="s">
        <v>258</v>
      </c>
      <c r="BH5" s="1605"/>
      <c r="BI5" s="1604" t="s">
        <v>259</v>
      </c>
      <c r="BJ5" s="1605"/>
      <c r="BK5" s="1604" t="s">
        <v>260</v>
      </c>
      <c r="BL5" s="1605"/>
    </row>
    <row r="6" spans="1:64" ht="21.75" customHeight="1">
      <c r="A6" s="1640"/>
      <c r="B6" s="298"/>
      <c r="C6" s="1643"/>
      <c r="D6" s="1600"/>
      <c r="E6" s="1600"/>
      <c r="F6" s="1645"/>
      <c r="G6" s="1648"/>
      <c r="H6" s="1607"/>
      <c r="I6" s="1607"/>
      <c r="J6" s="1607"/>
      <c r="K6" s="1607"/>
      <c r="L6" s="1607"/>
      <c r="M6" s="1607"/>
      <c r="N6" s="1607"/>
      <c r="O6" s="1607"/>
      <c r="P6" s="1607"/>
      <c r="Q6" s="1607"/>
      <c r="R6" s="1619"/>
      <c r="S6" s="1622"/>
      <c r="T6" s="1613"/>
      <c r="U6" s="1610"/>
      <c r="V6" s="1634"/>
      <c r="W6" s="1651"/>
      <c r="X6" s="1654"/>
      <c r="Y6" s="1654"/>
      <c r="Z6" s="1637"/>
      <c r="AA6" s="1625"/>
      <c r="AB6" s="1607"/>
      <c r="AC6" s="1607"/>
      <c r="AD6" s="1657"/>
      <c r="AE6" s="1600"/>
      <c r="AF6" s="1628"/>
      <c r="AG6" s="1607"/>
      <c r="AH6" s="1619"/>
      <c r="AI6" s="1625"/>
      <c r="AJ6" s="1631"/>
      <c r="AK6" s="1616"/>
      <c r="AL6" s="1600"/>
      <c r="AM6" s="1600"/>
      <c r="AN6" s="1600"/>
      <c r="AO6" s="1600"/>
      <c r="AP6" s="1600"/>
      <c r="AQ6" s="1600"/>
      <c r="AR6" s="1600"/>
      <c r="AS6" s="1600"/>
      <c r="AT6" s="1600"/>
      <c r="AU6" s="1600"/>
      <c r="AV6" s="1600"/>
      <c r="AW6" s="1600"/>
      <c r="AX6" s="1600"/>
      <c r="AY6" s="1600"/>
      <c r="BE6" s="1602" t="s">
        <v>217</v>
      </c>
      <c r="BF6" s="1602" t="s">
        <v>218</v>
      </c>
      <c r="BG6" s="1602" t="s">
        <v>217</v>
      </c>
      <c r="BH6" s="1602" t="s">
        <v>218</v>
      </c>
      <c r="BI6" s="1602" t="s">
        <v>217</v>
      </c>
      <c r="BJ6" s="1602" t="s">
        <v>218</v>
      </c>
      <c r="BK6" s="1602" t="s">
        <v>217</v>
      </c>
      <c r="BL6" s="1602" t="s">
        <v>218</v>
      </c>
    </row>
    <row r="7" spans="1:64" ht="38.25" customHeight="1" thickBot="1">
      <c r="A7" s="1641"/>
      <c r="B7" s="299"/>
      <c r="C7" s="288" t="str">
        <f>Datos!A7</f>
        <v>COMPETENCIAS</v>
      </c>
      <c r="D7" s="1601"/>
      <c r="E7" s="1601"/>
      <c r="F7" s="1646"/>
      <c r="G7" s="1649"/>
      <c r="H7" s="1608"/>
      <c r="I7" s="1608"/>
      <c r="J7" s="1608"/>
      <c r="K7" s="1608"/>
      <c r="L7" s="1608"/>
      <c r="M7" s="1608"/>
      <c r="N7" s="1608"/>
      <c r="O7" s="1608"/>
      <c r="P7" s="1608"/>
      <c r="Q7" s="1608"/>
      <c r="R7" s="1620"/>
      <c r="S7" s="1623"/>
      <c r="T7" s="1614"/>
      <c r="U7" s="1611"/>
      <c r="V7" s="1635"/>
      <c r="W7" s="1652"/>
      <c r="X7" s="1655"/>
      <c r="Y7" s="1655"/>
      <c r="Z7" s="1638"/>
      <c r="AA7" s="1626"/>
      <c r="AB7" s="1608"/>
      <c r="AC7" s="1608"/>
      <c r="AD7" s="1658"/>
      <c r="AE7" s="1601"/>
      <c r="AF7" s="1629"/>
      <c r="AG7" s="1608"/>
      <c r="AH7" s="1620"/>
      <c r="AI7" s="1626"/>
      <c r="AJ7" s="1632"/>
      <c r="AK7" s="1617"/>
      <c r="AL7" s="1601"/>
      <c r="AM7" s="1601"/>
      <c r="AN7" s="1601"/>
      <c r="AO7" s="1601"/>
      <c r="AP7" s="1601"/>
      <c r="AQ7" s="1601"/>
      <c r="AR7" s="1601"/>
      <c r="AS7" s="1601"/>
      <c r="AT7" s="1601"/>
      <c r="AU7" s="1601"/>
      <c r="AV7" s="1601"/>
      <c r="AW7" s="1601"/>
      <c r="AX7" s="1601"/>
      <c r="AY7" s="1601"/>
      <c r="BE7" s="1603"/>
      <c r="BF7" s="1603"/>
      <c r="BG7" s="1603"/>
      <c r="BH7" s="1603"/>
      <c r="BI7" s="1603"/>
      <c r="BJ7" s="1603"/>
      <c r="BK7" s="1603"/>
      <c r="BL7" s="1603"/>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314</v>
      </c>
      <c r="C10" s="7" t="str">
        <f>Datos!A10</f>
        <v>Jdos. Violencia contra la mujer</v>
      </c>
      <c r="D10" s="7"/>
      <c r="E10" s="290">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36</v>
      </c>
      <c r="AB10" s="374">
        <f>IF(ISNUMBER(Datos!R10),Datos!R10," - ")</f>
        <v>0</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1.5555555555555556</v>
      </c>
      <c r="AM10" s="284">
        <f>IF(ISNUMBER(((NºAsuntos!I10/NºAsuntos!G10)*11)/factor_trimestre),((NºAsuntos!I10/NºAsuntos!G10)*11)/factor_trimestre," - ")</f>
        <v>5.1428571428571432</v>
      </c>
      <c r="AN10" s="267">
        <f>IF(ISNUMBER('Resol  Asuntos'!D10/NºAsuntos!G10),'Resol  Asuntos'!D10/NºAsuntos!G10," - ")</f>
        <v>0.42857142857142855</v>
      </c>
      <c r="AO10" s="268">
        <f>IF(ISNUMBER((NºAsuntos!C10+NºAsuntos!E10)/NºAsuntos!G10),(NºAsuntos!C10+NºAsuntos!E10)/NºAsuntos!G10," - ")</f>
        <v>3.5714285714285716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5</v>
      </c>
      <c r="B12" s="300" t="s">
        <v>314</v>
      </c>
      <c r="C12" s="7" t="str">
        <f>Datos!A12</f>
        <v xml:space="preserve">Jdos. 1ª Instª. e Instr.                        </v>
      </c>
      <c r="D12" s="7"/>
      <c r="E12" s="290">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306</v>
      </c>
      <c r="Y12" s="374">
        <f t="shared" si="0"/>
        <v>306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87</v>
      </c>
      <c r="AJ12" s="243" t="str">
        <f>IF(ISNUMBER(Datos!BW12),Datos!BW12," - ")</f>
        <v xml:space="preserve"> - </v>
      </c>
      <c r="AK12" s="242" t="str">
        <f>IF(ISNUMBER(Datos!BX12),Datos!BX12," - ")</f>
        <v xml:space="preserve"> - </v>
      </c>
      <c r="AL12" s="266">
        <f>IF(ISNUMBER(NºAsuntos!G12/NºAsuntos!E12),NºAsuntos!G12/NºAsuntos!E12," - ")</f>
        <v>0.90509915014164311</v>
      </c>
      <c r="AM12" s="284">
        <f>IF(ISNUMBER(((NºAsuntos!I12/NºAsuntos!G12)*11)/factor_trimestre),((NºAsuntos!I12/NºAsuntos!G12)*11)/factor_trimestre," - ")</f>
        <v>5.511737089201878</v>
      </c>
      <c r="AN12" s="267">
        <f>IF(ISNUMBER('Resol  Asuntos'!D12/NºAsuntos!G12),'Resol  Asuntos'!D12/NºAsuntos!G12," - ")</f>
        <v>0.13615023474178403</v>
      </c>
      <c r="AO12" s="268">
        <f>IF(ISNUMBER((NºAsuntos!C12+NºAsuntos!E12)/NºAsuntos!G12),(NºAsuntos!C12+NºAsuntos!E12)/NºAsuntos!G12," - ")</f>
        <v>3.6447574334898278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1</v>
      </c>
      <c r="B13" s="300" t="s">
        <v>314</v>
      </c>
      <c r="C13" s="7" t="str">
        <f>Datos!A13</f>
        <v xml:space="preserve">Jdos. de Menores    </v>
      </c>
      <c r="D13" s="7"/>
      <c r="E13" s="290">
        <f>IF(ISNUMBER(Datos!AQ13),Datos!AQ13," - ")</f>
        <v>1</v>
      </c>
      <c r="F13" s="239">
        <f>IF(ISNUMBER(Datos!L13+Datos!K13-Datos!J13-K13),Datos!L13+Datos!K13-Datos!J13-K13," - ")</f>
        <v>0</v>
      </c>
      <c r="G13" s="373">
        <f>IF(ISNUMBER(Datos!I13),Datos!I13," - ")</f>
        <v>0</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f>IF(ISNUMBER(Datos!K13),Datos!K13," - ")</f>
        <v>0</v>
      </c>
      <c r="X13" s="240">
        <f>IF(ISNUMBER(Datos!Q13),Datos!Q13," - ")</f>
        <v>0</v>
      </c>
      <c r="Y13" s="374">
        <f t="shared" si="0"/>
        <v>0</v>
      </c>
      <c r="Z13" s="375" t="str">
        <f>IF(ISNUMBER(Datos!CC13),Datos!CC13," - ")</f>
        <v xml:space="preserve"> - </v>
      </c>
      <c r="AA13" s="372">
        <f>IF(ISNUMBER(Datos!L13),Datos!L13,"-")</f>
        <v>0</v>
      </c>
      <c r="AB13" s="374">
        <f>IF(ISNUMBER(Datos!R13),Datos!R13," - ")</f>
        <v>0</v>
      </c>
      <c r="AC13" s="374">
        <f t="shared" si="1"/>
        <v>0</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f>IF(ISNUMBER(Datos!M13),Datos!M13," - ")</f>
        <v>0</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41</v>
      </c>
      <c r="G14" s="1166">
        <f t="shared" si="5"/>
        <v>41</v>
      </c>
      <c r="H14" s="1165">
        <f t="shared" si="5"/>
        <v>0</v>
      </c>
      <c r="I14" s="1167">
        <f t="shared" si="5"/>
        <v>0</v>
      </c>
      <c r="J14" s="1167">
        <f t="shared" si="5"/>
        <v>0</v>
      </c>
      <c r="K14" s="1167">
        <f t="shared" si="5"/>
        <v>0</v>
      </c>
      <c r="L14" s="1167">
        <f t="shared" si="5"/>
        <v>167</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14</v>
      </c>
      <c r="X14" s="1167">
        <f t="shared" si="6"/>
        <v>306</v>
      </c>
      <c r="Y14" s="1168">
        <f t="shared" si="6"/>
        <v>320</v>
      </c>
      <c r="Z14" s="1168">
        <f t="shared" si="6"/>
        <v>0</v>
      </c>
      <c r="AA14" s="1168">
        <f t="shared" si="6"/>
        <v>36</v>
      </c>
      <c r="AB14" s="1168">
        <f t="shared" si="6"/>
        <v>3351</v>
      </c>
      <c r="AC14" s="1168">
        <f t="shared" si="6"/>
        <v>36</v>
      </c>
      <c r="AD14" s="1168">
        <f t="shared" si="6"/>
        <v>0</v>
      </c>
      <c r="AE14" s="1172">
        <f t="shared" si="6"/>
        <v>0</v>
      </c>
      <c r="AF14" s="1165">
        <f t="shared" si="6"/>
        <v>0</v>
      </c>
      <c r="AG14" s="1173">
        <f t="shared" si="6"/>
        <v>0</v>
      </c>
      <c r="AH14" s="1170">
        <f t="shared" si="6"/>
        <v>0</v>
      </c>
      <c r="AI14" s="1165">
        <f t="shared" si="6"/>
        <v>93</v>
      </c>
      <c r="AJ14" s="1167">
        <f t="shared" si="6"/>
        <v>0</v>
      </c>
      <c r="AK14" s="1170">
        <f>SUBTOTAL(9,AK9:AK13)</f>
        <v>0</v>
      </c>
      <c r="AL14" s="1174">
        <f>IF(ISNUMBER(NºAsuntos!G14/NºAsuntos!E14),NºAsuntos!G14/NºAsuntos!E14," - ")</f>
        <v>0.91328671328671329</v>
      </c>
      <c r="AM14" s="1174">
        <f>IF(ISNUMBER(((NºAsuntos!I14/NºAsuntos!G14)*11)/factor_trimestre),((NºAsuntos!I14/NºAsuntos!G14)*11)/factor_trimestre," - ")</f>
        <v>5.5038284839203673</v>
      </c>
      <c r="AN14" s="1175">
        <f>IF(ISNUMBER('Resol  Asuntos'!D14/NºAsuntos!G14),'Resol  Asuntos'!D14/NºAsuntos!G14," - ")</f>
        <v>0.14241960183767227</v>
      </c>
      <c r="AO14" s="1176">
        <f>IF(ISNUMBER((NºAsuntos!C14+NºAsuntos!E14)/NºAsuntos!G14),(NºAsuntos!C14+NºAsuntos!E14)/NºAsuntos!G14," - ")</f>
        <v>3.6431852986217459</v>
      </c>
      <c r="AP14" s="1177" t="str">
        <f t="shared" si="2"/>
        <v xml:space="preserve"> - </v>
      </c>
      <c r="AQ14" s="1177">
        <f>IF(ISNUMBER((H14-W14+K14)/(F14)),(H14-W14+K14)/(F14)," - ")</f>
        <v>-0.34146341463414637</v>
      </c>
      <c r="AR14" s="1178">
        <f>IF(ISNUMBER((Datos!P14-Datos!Q14)/(Datos!R14-Datos!P14+Datos!Q14)),(Datos!P14-Datos!Q14)/(Datos!R14-Datos!P14+Datos!Q14)," - ")</f>
        <v>-3.9828080229226362E-2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504</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5</v>
      </c>
      <c r="B17" s="300" t="s">
        <v>504</v>
      </c>
      <c r="C17" s="173" t="str">
        <f>Datos!A17</f>
        <v xml:space="preserve">Jdos. 1ª Instª. e Instr.                        </v>
      </c>
      <c r="D17" s="173"/>
      <c r="E17" s="290">
        <f>IF(ISNUMBER(Datos!AQ17),Datos!AQ17," - ")</f>
        <v>5</v>
      </c>
      <c r="F17" s="239">
        <f>IF(ISNUMBER(AA17+W17-Datos!J17-K17),AA17+W17-Datos!J17-K17," - ")</f>
        <v>1920</v>
      </c>
      <c r="G17" s="373">
        <f>IF(ISNUMBER(IF(D_I="SI",Datos!I17,Datos!I17+Datos!AC17)),IF(D_I="SI",Datos!I17,Datos!I17+Datos!AC17)," - ")</f>
        <v>1914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1305</v>
      </c>
      <c r="X17" s="240">
        <f>IF(ISNUMBER(Datos!Q17),Datos!Q17," - ")</f>
        <v>96</v>
      </c>
      <c r="Y17" s="374">
        <f t="shared" ref="Y17:Y22" si="9">SUM(W17:X17)</f>
        <v>1401</v>
      </c>
      <c r="Z17" s="375" t="str">
        <f>IF(ISNUMBER(Datos!CC17),Datos!CC17," - ")</f>
        <v xml:space="preserve"> - </v>
      </c>
      <c r="AA17" s="372">
        <f>IF(ISNUMBER(IF(D_I="SI",Datos!L17,Datos!L17+Datos!AF17)),IF(D_I="SI",Datos!L17,Datos!L17+Datos!AF17)," - ")</f>
        <v>1919</v>
      </c>
      <c r="AB17" s="374">
        <f>IF(ISNUMBER(Datos!R17),Datos!R17," - ")</f>
        <v>160</v>
      </c>
      <c r="AC17" s="374">
        <f t="shared" si="8"/>
        <v>2079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170</v>
      </c>
      <c r="AJ17" s="245" t="str">
        <f>IF(ISNUMBER(Datos!BW17),Datos!BW17," - ")</f>
        <v xml:space="preserve"> - </v>
      </c>
      <c r="AK17" s="246" t="str">
        <f>IF(ISNUMBER(Datos!BX17),Datos!BX17," - ")</f>
        <v xml:space="preserve"> - </v>
      </c>
      <c r="AL17" s="266">
        <f>IF(ISNUMBER(NºAsuntos!G17/NºAsuntos!E17),NºAsuntos!G17/NºAsuntos!E17," - ")</f>
        <v>1.0007668711656441</v>
      </c>
      <c r="AM17" s="284">
        <f>IF(ISNUMBER(((NºAsuntos!I17/NºAsuntos!G17)*11)/factor_trimestre),((NºAsuntos!I17/NºAsuntos!G17)*11)/factor_trimestre," - ")</f>
        <v>2.9409961685823749</v>
      </c>
      <c r="AN17" s="267">
        <f>IF(ISNUMBER('Resol  Asuntos'!D17/NºAsuntos!G17),'Resol  Asuntos'!D17/NºAsuntos!G17," - ")</f>
        <v>0.13026819923371646</v>
      </c>
      <c r="AO17" s="268">
        <f>IF(ISNUMBER((NºAsuntos!C17+NºAsuntos!E17)/NºAsuntos!G17),(NºAsuntos!C17+NºAsuntos!E17)/NºAsuntos!G17," - ")</f>
        <v>2.4659003831417623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504</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144</v>
      </c>
      <c r="X18" s="240">
        <f>IF(ISNUMBER(Datos!Q18),Datos!Q18," - ")</f>
        <v>0</v>
      </c>
      <c r="Y18" s="374">
        <f t="shared" si="9"/>
        <v>144</v>
      </c>
      <c r="Z18" s="375" t="str">
        <f>IF(ISNUMBER(Datos!CC18),Datos!CC18," - ")</f>
        <v xml:space="preserve"> - </v>
      </c>
      <c r="AA18" s="372">
        <f>IF(ISNUMBER(Datos!L18),Datos!L18,"-")</f>
        <v>82</v>
      </c>
      <c r="AB18" s="374">
        <f>IF(ISNUMBER(Datos!R18),Datos!R18," - ")</f>
        <v>9</v>
      </c>
      <c r="AC18" s="374">
        <f t="shared" si="8"/>
        <v>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0.98630136986301364</v>
      </c>
      <c r="AM18" s="284">
        <f>IF(ISNUMBER(((NºAsuntos!I18/NºAsuntos!G18)*11)/factor_trimestre),((NºAsuntos!I18/NºAsuntos!G18)*11)/factor_trimestre," - ")</f>
        <v>1.1388888888888888</v>
      </c>
      <c r="AN18" s="267">
        <f>IF(ISNUMBER('Resol  Asuntos'!D18/NºAsuntos!G18),'Resol  Asuntos'!D18/NºAsuntos!G18," - ")</f>
        <v>9.0277777777777776E-2</v>
      </c>
      <c r="AO18" s="268">
        <f>IF(ISNUMBER((NºAsuntos!C18+NºAsuntos!E18)/NºAsuntos!G18),(NºAsuntos!C18+NºAsuntos!E18)/NºAsuntos!G18," - ")</f>
        <v>1.5694444444444444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1</v>
      </c>
      <c r="B19" s="300" t="s">
        <v>504</v>
      </c>
      <c r="C19" s="7" t="str">
        <f>Datos!A19</f>
        <v xml:space="preserve">Jdos. de Menores                                </v>
      </c>
      <c r="D19" s="7"/>
      <c r="E19" s="290">
        <f>IF(ISNUMBER(Datos!AQ19),Datos!AQ19," - ")</f>
        <v>1</v>
      </c>
      <c r="F19" s="239">
        <f>IF(ISNUMBER(Datos!L19+Datos!K19-Datos!J19-K19),Datos!L19+Datos!K19-Datos!J19-K19," - ")</f>
        <v>272</v>
      </c>
      <c r="G19" s="373">
        <f>IF(ISNUMBER(Datos!I19),Datos!I19," - ")</f>
        <v>272</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29</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f>IF(ISNUMBER(Datos!K19),Datos!K19," - ")</f>
        <v>93</v>
      </c>
      <c r="X19" s="240">
        <f>IF(ISNUMBER(Datos!Q19),Datos!Q19," - ")</f>
        <v>32</v>
      </c>
      <c r="Y19" s="374">
        <f t="shared" si="9"/>
        <v>125</v>
      </c>
      <c r="Z19" s="375" t="str">
        <f>IF(ISNUMBER(Datos!CC19),Datos!CC19," - ")</f>
        <v xml:space="preserve"> - </v>
      </c>
      <c r="AA19" s="372">
        <f>IF(ISNUMBER(Datos!L19),Datos!L19,"-")</f>
        <v>233</v>
      </c>
      <c r="AB19" s="374">
        <f>IF(ISNUMBER(Datos!R19),Datos!R19," - ")</f>
        <v>205</v>
      </c>
      <c r="AC19" s="374">
        <f t="shared" si="8"/>
        <v>438</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f>IF(ISNUMBER(Datos!M19),Datos!M19," - ")</f>
        <v>35</v>
      </c>
      <c r="AJ19" s="245" t="str">
        <f>IF(ISNUMBER(Datos!BW19),Datos!BW19," - ")</f>
        <v xml:space="preserve"> - </v>
      </c>
      <c r="AK19" s="246" t="str">
        <f>IF(ISNUMBER(Datos!BX19),Datos!BX19," - ")</f>
        <v xml:space="preserve"> - </v>
      </c>
      <c r="AL19" s="266">
        <f>IF(ISNUMBER(NºAsuntos!G19/NºAsuntos!E19),NºAsuntos!G19/NºAsuntos!E19," - ")</f>
        <v>1.7222222222222223</v>
      </c>
      <c r="AM19" s="284">
        <f>IF(ISNUMBER(((NºAsuntos!I19/NºAsuntos!G19)*11)/factor_trimestre),((NºAsuntos!I19/NºAsuntos!G19)*11)/factor_trimestre," - ")</f>
        <v>5.010752688172043</v>
      </c>
      <c r="AN19" s="267">
        <f>IF(ISNUMBER('Resol  Asuntos'!D19/NºAsuntos!G19),'Resol  Asuntos'!D19/NºAsuntos!G19," - ")</f>
        <v>0.37634408602150538</v>
      </c>
      <c r="AO19" s="268">
        <f>IF(ISNUMBER((NºAsuntos!C19+NºAsuntos!E19)/NºAsuntos!G19),(NºAsuntos!C19+NºAsuntos!E19)/NºAsuntos!G19," - ")</f>
        <v>3.5053763440860215</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504</v>
      </c>
      <c r="C20" s="751" t="str">
        <f>Datos!A20</f>
        <v xml:space="preserve">Jdos. Vigilancia Penitenciaria                  </v>
      </c>
      <c r="D20" s="751"/>
      <c r="E20" s="721">
        <f>IF(ISNUMBER(Datos!AQ20),Datos!AQ20," - ")</f>
        <v>0</v>
      </c>
      <c r="F20" s="556">
        <f>IF(ISNUMBER(Datos!L20+Datos!K20-Datos!J20-K20),Datos!L20+Datos!K20-Datos!J20-K20," - ")</f>
        <v>33</v>
      </c>
      <c r="G20" s="547">
        <f>IF(ISNUMBER(Datos!I20),Datos!I20," - ")</f>
        <v>33</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f>IF(ISNUMBER(Datos!K20),Datos!K20," - ")</f>
        <v>162</v>
      </c>
      <c r="X20" s="551" t="str">
        <f>IF(ISNUMBER(Datos!Q20),Datos!Q20," - ")</f>
        <v xml:space="preserve"> - </v>
      </c>
      <c r="Y20" s="553">
        <f t="shared" si="9"/>
        <v>162</v>
      </c>
      <c r="Z20" s="771" t="str">
        <f>IF(ISNUMBER(Datos!CC20),Datos!CC20," - ")</f>
        <v xml:space="preserve"> - </v>
      </c>
      <c r="AA20" s="555">
        <f>IF(ISNUMBER(Datos!L20),Datos!L20,"-")</f>
        <v>55</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f>IF(ISNUMBER(Datos!N20),Datos!N20," - ")</f>
        <v>162</v>
      </c>
      <c r="AJ20" s="799" t="str">
        <f>IF(ISNUMBER(Datos!BW20),Datos!BW20," - ")</f>
        <v xml:space="preserve"> - </v>
      </c>
      <c r="AK20" s="800" t="str">
        <f>IF(ISNUMBER(Datos!BX20),Datos!BX20," - ")</f>
        <v xml:space="preserve"> - </v>
      </c>
      <c r="AL20" s="768">
        <f>IF(ISNUMBER(NºAsuntos!G20/NºAsuntos!E20),NºAsuntos!G20/NºAsuntos!E20," - ")</f>
        <v>0.88043478260869568</v>
      </c>
      <c r="AM20" s="769">
        <f>IF(ISNUMBER(((NºAsuntos!I20/NºAsuntos!G20)*11)/factor_trimestre),((NºAsuntos!I20/NºAsuntos!G20)*11)/factor_trimestre," - ")</f>
        <v>0.67901234567901236</v>
      </c>
      <c r="AN20" s="801" t="str">
        <f>IF(ISNUMBER('Resol  Asuntos'!D20/NºAsuntos!G20),'Resol  Asuntos'!D20/NºAsuntos!G20," - ")</f>
        <v xml:space="preserve"> - </v>
      </c>
      <c r="AO20" s="802">
        <f>IF(ISNUMBER((NºAsuntos!C20+NºAsuntos!E20)/NºAsuntos!G20),(NºAsuntos!C20+NºAsuntos!E20)/NºAsuntos!G20," - ")</f>
        <v>1.3395061728395061</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2</v>
      </c>
      <c r="B21" s="300" t="s">
        <v>504</v>
      </c>
      <c r="C21" s="7" t="str">
        <f>Datos!A21</f>
        <v xml:space="preserve">Jdos. de lo Penal                               </v>
      </c>
      <c r="D21" s="7"/>
      <c r="E21" s="290">
        <f>IF(ISNUMBER(Datos!AQ21),Datos!AQ21," - ")</f>
        <v>2</v>
      </c>
      <c r="F21" s="239">
        <f>IF(ISNUMBER(Datos!L21+Datos!K21-Datos!J21-K21),Datos!L21+Datos!K21-Datos!J21-K21," - ")</f>
        <v>600</v>
      </c>
      <c r="G21" s="373">
        <f>IF(ISNUMBER(Datos!I21),Datos!I21," - ")</f>
        <v>600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174</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175</v>
      </c>
      <c r="X21" s="240">
        <f>IF(ISNUMBER(Datos!Q21),Datos!Q21," - ")</f>
        <v>431</v>
      </c>
      <c r="Y21" s="374">
        <f t="shared" si="9"/>
        <v>606</v>
      </c>
      <c r="Z21" s="375" t="str">
        <f>IF(ISNUMBER(Datos!CC21),Datos!CC21," - ")</f>
        <v xml:space="preserve"> - </v>
      </c>
      <c r="AA21" s="372">
        <f>IF(ISNUMBER(Datos!L21),Datos!L21,"-")</f>
        <v>571</v>
      </c>
      <c r="AB21" s="374">
        <f>IF(ISNUMBER(Datos!R21),Datos!R21," - ")</f>
        <v>928</v>
      </c>
      <c r="AC21" s="374">
        <f t="shared" si="8"/>
        <v>1499</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143</v>
      </c>
      <c r="AJ21" s="245" t="str">
        <f>IF(ISNUMBER(Datos!BW21),Datos!BW21," - ")</f>
        <v xml:space="preserve"> - </v>
      </c>
      <c r="AK21" s="246" t="str">
        <f>IF(ISNUMBER(Datos!BX21),Datos!BX21," - ")</f>
        <v xml:space="preserve"> - </v>
      </c>
      <c r="AL21" s="266">
        <f>IF(ISNUMBER(NºAsuntos!G21/NºAsuntos!E21),NºAsuntos!G21/NºAsuntos!E21," - ")</f>
        <v>1.1986301369863013</v>
      </c>
      <c r="AM21" s="284">
        <f>IF(ISNUMBER(((NºAsuntos!I21/NºAsuntos!G21)*11)/factor_trimestre),((NºAsuntos!I21/NºAsuntos!G21)*11)/factor_trimestre," - ")</f>
        <v>6.5257142857142858</v>
      </c>
      <c r="AN21" s="267">
        <f>IF(ISNUMBER('Resol  Asuntos'!D21/NºAsuntos!G21),'Resol  Asuntos'!D21/NºAsuntos!G21," - ")</f>
        <v>0.81714285714285717</v>
      </c>
      <c r="AO21" s="268">
        <f>IF(ISNUMBER((NºAsuntos!C21+NºAsuntos!E21)/NºAsuntos!G21),(NºAsuntos!C21+NºAsuntos!E21)/NºAsuntos!G21," - ")</f>
        <v>4.2628571428571425</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504</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2825</v>
      </c>
      <c r="G23" s="1166">
        <f>SUBTOTAL(9,G16:G22)</f>
        <v>2899</v>
      </c>
      <c r="H23" s="1165">
        <f t="shared" ref="H23:O23" si="13">SUBTOTAL(9,H15:H22)</f>
        <v>0</v>
      </c>
      <c r="I23" s="1167">
        <f t="shared" si="13"/>
        <v>0</v>
      </c>
      <c r="J23" s="1167">
        <f t="shared" si="13"/>
        <v>0</v>
      </c>
      <c r="K23" s="1167">
        <f t="shared" si="13"/>
        <v>0</v>
      </c>
      <c r="L23" s="1167">
        <f t="shared" si="13"/>
        <v>225</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1879</v>
      </c>
      <c r="X23" s="1167">
        <f t="shared" si="14"/>
        <v>559</v>
      </c>
      <c r="Y23" s="1168">
        <f t="shared" si="14"/>
        <v>2438</v>
      </c>
      <c r="Z23" s="1168">
        <f t="shared" si="14"/>
        <v>0</v>
      </c>
      <c r="AA23" s="1168">
        <f t="shared" si="14"/>
        <v>2860</v>
      </c>
      <c r="AB23" s="1168">
        <f t="shared" si="14"/>
        <v>1302</v>
      </c>
      <c r="AC23" s="1168">
        <f t="shared" si="14"/>
        <v>4107</v>
      </c>
      <c r="AD23" s="1168">
        <f t="shared" si="14"/>
        <v>0</v>
      </c>
      <c r="AE23" s="1172">
        <f t="shared" si="14"/>
        <v>0</v>
      </c>
      <c r="AF23" s="1165">
        <f t="shared" si="14"/>
        <v>0</v>
      </c>
      <c r="AG23" s="1173">
        <f t="shared" si="14"/>
        <v>0</v>
      </c>
      <c r="AH23" s="1170">
        <f t="shared" si="14"/>
        <v>0</v>
      </c>
      <c r="AI23" s="1165">
        <f t="shared" si="14"/>
        <v>523</v>
      </c>
      <c r="AJ23" s="1167">
        <f t="shared" si="14"/>
        <v>0</v>
      </c>
      <c r="AK23" s="1170">
        <f t="shared" si="14"/>
        <v>0</v>
      </c>
      <c r="AL23" s="1174">
        <f>IF(ISNUMBER(NºAsuntos!G23/NºAsuntos!E23),NºAsuntos!G23/NºAsuntos!E23," - ")</f>
        <v>1.0245365321701199</v>
      </c>
      <c r="AM23" s="1174">
        <f>IF(ISNUMBER(((NºAsuntos!I23/NºAsuntos!G23)*11)/factor_trimestre),((NºAsuntos!I23/NºAsuntos!G23)*11)/factor_trimestre," - ")</f>
        <v>3.0441724321447579</v>
      </c>
      <c r="AN23" s="1175">
        <f>IF(ISNUMBER('Resol  Asuntos'!D23/NºAsuntos!G23),'Resol  Asuntos'!D23/NºAsuntos!G23," - ")</f>
        <v>0.19212346993081425</v>
      </c>
      <c r="AO23" s="1176">
        <f>IF(ISNUMBER((NºAsuntos!C23+NºAsuntos!E23)/NºAsuntos!G23),(NºAsuntos!C23+NºAsuntos!E23)/NºAsuntos!G23," - ")</f>
        <v>2.518893028206493</v>
      </c>
      <c r="AP23" s="1177" t="str">
        <f t="shared" si="2"/>
        <v xml:space="preserve"> - </v>
      </c>
      <c r="AQ23" s="1177">
        <f>IF(ISNUMBER((H23-W23+K23)/(F23)),(H23-W23+K23)/(F23)," - ")</f>
        <v>-0.6651327433628319</v>
      </c>
      <c r="AR23" s="1178">
        <f>IF(ISNUMBER((Datos!P23-Datos!Q23)/(Datos!R23-Datos!P23+Datos!Q23)),(Datos!P23-Datos!Q23)/(Datos!R23-Datos!P23+Datos!Q23)," - ")</f>
        <v>-0.20415647921760391</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3</v>
      </c>
      <c r="B25" s="300" t="s">
        <v>505</v>
      </c>
      <c r="C25" s="7" t="str">
        <f>Datos!A25</f>
        <v xml:space="preserve">Jdos Cont.-Admvo.                               </v>
      </c>
      <c r="D25" s="7"/>
      <c r="E25" s="290">
        <f>IF(ISNUMBER(Datos!AQ25),Datos!AQ25," - ")</f>
        <v>3</v>
      </c>
      <c r="F25" s="239">
        <f>IF(ISNUMBER(Datos!L25+Datos!K25-Datos!J25-K25),Datos!L25+Datos!K25-Datos!J25-K25," - ")</f>
        <v>502</v>
      </c>
      <c r="G25" s="373">
        <f>IF(ISNUMBER(Datos!I25),Datos!I25," - ")</f>
        <v>496</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2</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f>IF(ISNUMBER(Datos!K25),Datos!K25," - ")</f>
        <v>221</v>
      </c>
      <c r="X25" s="240">
        <f>IF(ISNUMBER(Datos!Q25),Datos!Q25," - ")</f>
        <v>5</v>
      </c>
      <c r="Y25" s="374">
        <f>SUM(W25:X25)</f>
        <v>226</v>
      </c>
      <c r="Z25" s="375" t="str">
        <f>IF(ISNUMBER(Datos!CC25),Datos!CC25," - ")</f>
        <v xml:space="preserve"> - </v>
      </c>
      <c r="AA25" s="372">
        <f>IF(ISNUMBER(Datos!L25),Datos!L25,"-")</f>
        <v>419</v>
      </c>
      <c r="AB25" s="374">
        <f>IF(ISNUMBER(Datos!R25),Datos!R25," - ")</f>
        <v>31</v>
      </c>
      <c r="AC25" s="374">
        <f>IF(ISNUMBER(AA25+AB25),AA25+AB25," - ")</f>
        <v>450</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109</v>
      </c>
      <c r="AJ25" s="245" t="str">
        <f>IF(ISNUMBER(Datos!BW25),Datos!BW25," - ")</f>
        <v xml:space="preserve"> - </v>
      </c>
      <c r="AK25" s="246" t="str">
        <f>IF(ISNUMBER(Datos!BX25),Datos!BX25," - ")</f>
        <v xml:space="preserve"> - </v>
      </c>
      <c r="AL25" s="266">
        <f>IF(ISNUMBER(NºAsuntos!G25/NºAsuntos!E25),NºAsuntos!G25/NºAsuntos!E25," - ")</f>
        <v>1.6014492753623188</v>
      </c>
      <c r="AM25" s="284">
        <f>IF(ISNUMBER(((NºAsuntos!I25/NºAsuntos!G25)*11)/factor_trimestre),((NºAsuntos!I25/NºAsuntos!G25)*11)/factor_trimestre," - ")</f>
        <v>3.7918552036199098</v>
      </c>
      <c r="AN25" s="267">
        <f>IF(ISNUMBER('Resol  Asuntos'!D25/NºAsuntos!G25),'Resol  Asuntos'!D25/NºAsuntos!G25," - ")</f>
        <v>0.49321266968325794</v>
      </c>
      <c r="AO25" s="268">
        <f>IF(ISNUMBER((NºAsuntos!C25+NºAsuntos!E25)/NºAsuntos!G25),(NºAsuntos!C25+NºAsuntos!E25)/NºAsuntos!G25," - ")</f>
        <v>2.8687782805429864</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3</v>
      </c>
      <c r="F26" s="1165">
        <f>SUBTOTAL(9,F25:F25)</f>
        <v>502</v>
      </c>
      <c r="G26" s="1165">
        <f>SUBTOTAL(9,G25:G25)</f>
        <v>496</v>
      </c>
      <c r="H26" s="1165">
        <f>SUBTOTAL(9,H25:H25)</f>
        <v>0</v>
      </c>
      <c r="I26" s="1170">
        <f>SUBTOTAL(9,I25:I25)</f>
        <v>0</v>
      </c>
      <c r="J26" s="1170">
        <f>SUBTOTAL(9,J25:J25)</f>
        <v>0</v>
      </c>
      <c r="K26" s="1170">
        <f>SUBTOTAL(9,K22:K25)</f>
        <v>0</v>
      </c>
      <c r="L26" s="1170">
        <f>SUBTOTAL(9,L25:L25)</f>
        <v>2</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221</v>
      </c>
      <c r="X26" s="1167">
        <f t="shared" si="17"/>
        <v>5</v>
      </c>
      <c r="Y26" s="1168">
        <f t="shared" si="17"/>
        <v>226</v>
      </c>
      <c r="Z26" s="1168">
        <f t="shared" si="17"/>
        <v>0</v>
      </c>
      <c r="AA26" s="1168">
        <f t="shared" si="17"/>
        <v>419</v>
      </c>
      <c r="AB26" s="1168">
        <f t="shared" si="17"/>
        <v>31</v>
      </c>
      <c r="AC26" s="1168">
        <f t="shared" si="17"/>
        <v>450</v>
      </c>
      <c r="AD26" s="1168">
        <f t="shared" si="17"/>
        <v>0</v>
      </c>
      <c r="AE26" s="1172">
        <f t="shared" si="17"/>
        <v>0</v>
      </c>
      <c r="AF26" s="1165">
        <f t="shared" si="17"/>
        <v>0</v>
      </c>
      <c r="AG26" s="1173">
        <f t="shared" si="17"/>
        <v>0</v>
      </c>
      <c r="AH26" s="1170">
        <f t="shared" si="17"/>
        <v>0</v>
      </c>
      <c r="AI26" s="1165">
        <f t="shared" si="17"/>
        <v>109</v>
      </c>
      <c r="AJ26" s="1167">
        <f t="shared" si="17"/>
        <v>0</v>
      </c>
      <c r="AK26" s="1170">
        <f t="shared" si="17"/>
        <v>0</v>
      </c>
      <c r="AL26" s="1174">
        <f>IF(ISNUMBER(NºAsuntos!G26/NºAsuntos!E26),NºAsuntos!G26/NºAsuntos!E26," - ")</f>
        <v>1.6014492753623188</v>
      </c>
      <c r="AM26" s="1174">
        <f>IF(ISNUMBER(((NºAsuntos!I26/NºAsuntos!G26)*11)/factor_trimestre),((NºAsuntos!I26/NºAsuntos!G26)*11)/factor_trimestre," - ")</f>
        <v>3.7918552036199098</v>
      </c>
      <c r="AN26" s="1175">
        <f>IF(ISNUMBER('Resol  Asuntos'!D26/NºAsuntos!G26),'Resol  Asuntos'!D26/NºAsuntos!G26," - ")</f>
        <v>0.49321266968325794</v>
      </c>
      <c r="AO26" s="1176">
        <f>IF(ISNUMBER((NºAsuntos!C26+NºAsuntos!E26)/NºAsuntos!G26),(NºAsuntos!C26+NºAsuntos!E26)/NºAsuntos!G26," - ")</f>
        <v>2.8687782805429864</v>
      </c>
      <c r="AP26" s="1177" t="str">
        <f t="shared" si="2"/>
        <v xml:space="preserve"> - </v>
      </c>
      <c r="AQ26" s="1177">
        <f t="shared" si="16"/>
        <v>-0.44023904382470119</v>
      </c>
      <c r="AR26" s="1178">
        <f>IF(ISNUMBER((Datos!P26-Datos!Q26)/(Datos!R26-Datos!P26+Datos!Q26)),(Datos!P26-Datos!Q26)/(Datos!R26-Datos!P26+Datos!Q26)," - ")</f>
        <v>-8.8235294117647065E-2</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506</v>
      </c>
      <c r="C28" s="7" t="str">
        <f>Datos!A28</f>
        <v xml:space="preserve">Jdos. de lo Social                              </v>
      </c>
      <c r="D28" s="7"/>
      <c r="E28" s="290">
        <f>IF(ISNUMBER(Datos!AQ28),Datos!AQ28," - ")</f>
        <v>1</v>
      </c>
      <c r="F28" s="239">
        <f>IF(ISNUMBER(Datos!L28+Datos!K28-Datos!J28-K28),Datos!L28+Datos!K28-Datos!J28-K28," - ")</f>
        <v>691</v>
      </c>
      <c r="G28" s="373">
        <f>IF(ISNUMBER(Datos!I28),Datos!I28," - ")</f>
        <v>711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27</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77</v>
      </c>
      <c r="X28" s="240">
        <f>IF(ISNUMBER(Datos!Q28),Datos!Q28," - ")</f>
        <v>41</v>
      </c>
      <c r="Y28" s="374">
        <f>SUM(W28:X28)</f>
        <v>118</v>
      </c>
      <c r="Z28" s="375" t="str">
        <f>IF(ISNUMBER(Datos!CC28),Datos!CC28," - ")</f>
        <v xml:space="preserve"> - </v>
      </c>
      <c r="AA28" s="372">
        <f>IF(ISNUMBER(Datos!L28),Datos!L28,"-")</f>
        <v>795</v>
      </c>
      <c r="AB28" s="374">
        <f>IF(ISNUMBER(Datos!R28),Datos!R28," - ")</f>
        <v>202</v>
      </c>
      <c r="AC28" s="374">
        <f>IF(ISNUMBER(AA28+AB28),AA28+AB28," - ")</f>
        <v>997</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30</v>
      </c>
      <c r="AJ28" s="245" t="str">
        <f>IF(ISNUMBER(Datos!BW28),Datos!BW28," - ")</f>
        <v xml:space="preserve"> - </v>
      </c>
      <c r="AK28" s="246" t="str">
        <f>IF(ISNUMBER(Datos!BX28),Datos!BX28," - ")</f>
        <v xml:space="preserve"> - </v>
      </c>
      <c r="AL28" s="266">
        <f>IF(ISNUMBER(NºAsuntos!G28/NºAsuntos!E28),NºAsuntos!G28/NºAsuntos!E28," - ")</f>
        <v>0.425414364640884</v>
      </c>
      <c r="AM28" s="284">
        <f>IF(ISNUMBER(((NºAsuntos!I28/NºAsuntos!G28)*11)/factor_trimestre),((NºAsuntos!I28/NºAsuntos!G28)*11)/factor_trimestre," - ")</f>
        <v>20.649350649350648</v>
      </c>
      <c r="AN28" s="267">
        <f>IF(ISNUMBER('Resol  Asuntos'!D28/NºAsuntos!G28),'Resol  Asuntos'!D28/NºAsuntos!G28," - ")</f>
        <v>0.38961038961038963</v>
      </c>
      <c r="AO28" s="268">
        <f>IF(ISNUMBER((NºAsuntos!C28+NºAsuntos!E28)/NºAsuntos!G28),(NºAsuntos!C28+NºAsuntos!E28)/NºAsuntos!G28," - ")</f>
        <v>11.584415584415584</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506</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4</v>
      </c>
      <c r="F30" s="1165">
        <f>SUBTOTAL(9,F28:F29)</f>
        <v>691</v>
      </c>
      <c r="G30" s="1165">
        <f>SUBTOTAL(9,G28:G29)</f>
        <v>711</v>
      </c>
      <c r="H30" s="1165">
        <f>SUBTOTAL(9,H28:H29)</f>
        <v>0</v>
      </c>
      <c r="I30" s="1170">
        <f>SUBTOTAL(9,I28:I29)</f>
        <v>0</v>
      </c>
      <c r="J30" s="1170">
        <f>SUBTOTAL(9,J28:J29)</f>
        <v>0</v>
      </c>
      <c r="K30" s="1170">
        <f>SUBTOTAL(9,K23:K29)</f>
        <v>0</v>
      </c>
      <c r="L30" s="1170">
        <f>SUBTOTAL(9,L28:L29)</f>
        <v>27</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77</v>
      </c>
      <c r="X30" s="1167">
        <f t="shared" si="19"/>
        <v>41</v>
      </c>
      <c r="Y30" s="1168">
        <f t="shared" si="19"/>
        <v>118</v>
      </c>
      <c r="Z30" s="1168">
        <f t="shared" si="19"/>
        <v>0</v>
      </c>
      <c r="AA30" s="1168">
        <f t="shared" si="19"/>
        <v>795</v>
      </c>
      <c r="AB30" s="1168">
        <f t="shared" si="19"/>
        <v>202</v>
      </c>
      <c r="AC30" s="1168">
        <f t="shared" si="19"/>
        <v>997</v>
      </c>
      <c r="AD30" s="1168">
        <f t="shared" si="19"/>
        <v>0</v>
      </c>
      <c r="AE30" s="1172">
        <f t="shared" si="19"/>
        <v>0</v>
      </c>
      <c r="AF30" s="1165">
        <f t="shared" si="19"/>
        <v>0</v>
      </c>
      <c r="AG30" s="1173">
        <f t="shared" si="19"/>
        <v>0</v>
      </c>
      <c r="AH30" s="1170">
        <f t="shared" si="19"/>
        <v>0</v>
      </c>
      <c r="AI30" s="1165">
        <f t="shared" si="19"/>
        <v>30</v>
      </c>
      <c r="AJ30" s="1167">
        <f t="shared" si="19"/>
        <v>0</v>
      </c>
      <c r="AK30" s="1170">
        <f t="shared" si="19"/>
        <v>0</v>
      </c>
      <c r="AL30" s="1174">
        <f>IF(ISNUMBER(NºAsuntos!G30/NºAsuntos!E30),NºAsuntos!G30/NºAsuntos!E30," - ")</f>
        <v>0.425414364640884</v>
      </c>
      <c r="AM30" s="1174">
        <f>IF(ISNUMBER(((NºAsuntos!I30/NºAsuntos!G30)*11)/factor_trimestre),((NºAsuntos!I30/NºAsuntos!G30)*11)/factor_trimestre," - ")</f>
        <v>20.649350649350648</v>
      </c>
      <c r="AN30" s="1175">
        <f>IF(ISNUMBER('Resol  Asuntos'!D30/NºAsuntos!G30),'Resol  Asuntos'!D30/NºAsuntos!G30," - ")</f>
        <v>0.38961038961038963</v>
      </c>
      <c r="AO30" s="1176">
        <f>IF(ISNUMBER((NºAsuntos!C30+NºAsuntos!E30)/NºAsuntos!G30),(NºAsuntos!C30+NºAsuntos!E30)/NºAsuntos!G30," - ")</f>
        <v>11.584415584415584</v>
      </c>
      <c r="AP30" s="1177" t="str">
        <f t="shared" si="2"/>
        <v xml:space="preserve"> - </v>
      </c>
      <c r="AQ30" s="1177">
        <f t="shared" si="18"/>
        <v>-0.11143270622286541</v>
      </c>
      <c r="AR30" s="1178">
        <f>IF(ISNUMBER((Datos!P30-Datos!Q30)/(Datos!R30-Datos!P30+Datos!Q30)),(Datos!P30-Datos!Q30)/(Datos!R30-Datos!P30+Datos!Q30)," - ")</f>
        <v>-6.4814814814814811E-2</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18</v>
      </c>
      <c r="F31" s="1120">
        <f t="shared" si="20"/>
        <v>4059</v>
      </c>
      <c r="G31" s="1121">
        <f t="shared" si="20"/>
        <v>4147</v>
      </c>
      <c r="H31" s="1120">
        <f t="shared" si="20"/>
        <v>0</v>
      </c>
      <c r="I31" s="1122">
        <f t="shared" si="20"/>
        <v>0</v>
      </c>
      <c r="J31" s="1122">
        <f t="shared" si="20"/>
        <v>0</v>
      </c>
      <c r="K31" s="1183">
        <f t="shared" si="20"/>
        <v>0</v>
      </c>
      <c r="L31" s="1122">
        <f t="shared" si="20"/>
        <v>421</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2191</v>
      </c>
      <c r="X31" s="1121">
        <f t="shared" si="21"/>
        <v>911</v>
      </c>
      <c r="Y31" s="1128">
        <f t="shared" si="21"/>
        <v>3102</v>
      </c>
      <c r="Z31" s="1128">
        <f t="shared" si="21"/>
        <v>0</v>
      </c>
      <c r="AA31" s="1128">
        <f t="shared" si="21"/>
        <v>4110</v>
      </c>
      <c r="AB31" s="1128">
        <f t="shared" si="21"/>
        <v>4886</v>
      </c>
      <c r="AC31" s="1128">
        <f t="shared" si="21"/>
        <v>5590</v>
      </c>
      <c r="AD31" s="1128">
        <f t="shared" si="21"/>
        <v>0</v>
      </c>
      <c r="AE31" s="1130">
        <f t="shared" si="21"/>
        <v>0</v>
      </c>
      <c r="AF31" s="1131">
        <f t="shared" si="21"/>
        <v>0</v>
      </c>
      <c r="AG31" s="1132">
        <f t="shared" si="21"/>
        <v>0</v>
      </c>
      <c r="AH31" s="1130">
        <f t="shared" si="21"/>
        <v>0</v>
      </c>
      <c r="AI31" s="1120">
        <f t="shared" si="21"/>
        <v>755</v>
      </c>
      <c r="AJ31" s="1120">
        <f t="shared" si="21"/>
        <v>0</v>
      </c>
      <c r="AK31" s="1130">
        <f t="shared" si="21"/>
        <v>0</v>
      </c>
      <c r="AL31" s="1186">
        <f>IF(ISNUMBER(NºAsuntos!G31/NºAsuntos!E31),NºAsuntos!G31/NºAsuntos!E31," - ")</f>
        <v>0.98675034867503486</v>
      </c>
      <c r="AM31" s="1187">
        <f>IF(ISNUMBER(((NºAsuntos!I31/NºAsuntos!G31)*11)/factor_trimestre),((NºAsuntos!I31/NºAsuntos!G31)*11)/factor_trimestre," - ")</f>
        <v>4.1491166077738519</v>
      </c>
      <c r="AN31" s="1187">
        <f>IF(ISNUMBER('Resol  Asuntos'!D31/NºAsuntos!G31),'Resol  Asuntos'!D31/NºAsuntos!G31," - ")</f>
        <v>0.20954063604240283</v>
      </c>
      <c r="AO31" s="1188">
        <f>IF(ISNUMBER((NºAsuntos!C31+NºAsuntos!E31)/NºAsuntos!G31),(NºAsuntos!C31+NºAsuntos!E31)/NºAsuntos!G31," - ")</f>
        <v>3.0522968197879861</v>
      </c>
      <c r="AP31" s="1189" t="str">
        <f t="shared" si="2"/>
        <v xml:space="preserve"> - </v>
      </c>
      <c r="AQ31" s="1190">
        <f>IF(OR(ISNUMBER(FIND("01",Criterios!A8,1)),ISNUMBER(FIND("02",Criterios!A8,1)),ISNUMBER(FIND("03",Criterios!A8,1)),ISNUMBER(FIND("04",Criterios!A8,1))),(I31-W31+K31)/(F31-K31),(H31-W31+K31)/(F31-K31))</f>
        <v>-0.53978812515397878</v>
      </c>
      <c r="AR31" s="1191">
        <f>IF(ISNUMBER((Datos!P31-Datos!Q31)/(Datos!R31-Datos!P31+Datos!Q31)),(Datos!P31-Datos!Q31)/(Datos!R31-Datos!P31+Datos!Q31)," - ")</f>
        <v>-9.1145833333333329E-2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638</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335</v>
      </c>
      <c r="D33" s="385"/>
      <c r="E33" s="308">
        <f>IF(ISNUMBER(STDEV(E8:E30)),STDEV(E8:E30),"-")</f>
        <v>2.4826886011053579</v>
      </c>
      <c r="F33" s="276">
        <f>IF(ISNUMBER(STDEV(F8:F30)),STDEV(F8:F30),"-")</f>
        <v>856.66387807587637</v>
      </c>
      <c r="G33" s="277">
        <f>IF(ISNUMBER(STDEV(G8:G30)),STDEV(G8:G30),"-")</f>
        <v>852.63972461995934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573.93240913578859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132.85843081025246</v>
      </c>
      <c r="AJ33" s="276">
        <f t="shared" si="24"/>
        <v>0</v>
      </c>
      <c r="AK33" s="278">
        <f t="shared" si="24"/>
        <v>0</v>
      </c>
      <c r="AL33" s="273">
        <f t="shared" si="24"/>
        <v>0.42492236592011767</v>
      </c>
      <c r="AM33" s="274">
        <f t="shared" si="24"/>
        <v>6.5085794794062437</v>
      </c>
      <c r="AN33" s="274">
        <f t="shared" si="24"/>
        <v>0.2126692811777959</v>
      </c>
      <c r="AO33" s="275">
        <f t="shared" si="24"/>
        <v>3.3539298778289344</v>
      </c>
      <c r="AP33" s="317" t="str">
        <f t="shared" si="24"/>
        <v>-</v>
      </c>
      <c r="AQ33" s="318">
        <f t="shared" si="24"/>
        <v>0.22962053859969048</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25 nov. 2021</v>
      </c>
      <c r="D42" s="130"/>
    </row>
    <row r="44" spans="1:51">
      <c r="C44" s="1"/>
      <c r="D44" s="1"/>
    </row>
  </sheetData>
  <sheetProtection algorithmName="SHA-512" hashValue="lI3Geynn4Ay+KAtqVUFeU9geec/+JYReXd5EGWHvTqh1QL2cZDX72o0hAwrPv18hDB3JQfyMvu0BHIX9PVO6NQ==" saltValue="vdaIizm4i2QWrn5VqLDME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82" priority="302" stopIfTrue="1">
      <formula>IF(F9&lt;&gt;G9,TRUE,FALSE)</formula>
    </cfRule>
  </conditionalFormatting>
  <conditionalFormatting sqref="E25 E9:E13 E28:E29 E16:E22">
    <cfRule type="cellIs" dxfId="2981" priority="248" stopIfTrue="1" operator="notBetween">
      <formula>$E$37</formula>
      <formula>$E$38</formula>
    </cfRule>
  </conditionalFormatting>
  <conditionalFormatting sqref="G28:G29 G25 G10:G13 G16:G22">
    <cfRule type="cellIs" dxfId="2980" priority="304" stopIfTrue="1" operator="between">
      <formula>$G$37</formula>
      <formula>$G$38</formula>
    </cfRule>
  </conditionalFormatting>
  <conditionalFormatting sqref="W28:W29 W25 W9:W13 W16:W22">
    <cfRule type="cellIs" dxfId="2979" priority="306" stopIfTrue="1" operator="notBetween">
      <formula>$W$37</formula>
      <formula>$W$38</formula>
    </cfRule>
  </conditionalFormatting>
  <conditionalFormatting sqref="AF25 AF28:AF29 AF9:AF13 AF16:AF22">
    <cfRule type="cellIs" dxfId="2978" priority="307" stopIfTrue="1" operator="notBetween">
      <formula>$AF$37</formula>
      <formula>$AF$38</formula>
    </cfRule>
  </conditionalFormatting>
  <conditionalFormatting sqref="AI25 AI9:AI13 AI29 AI16:AI22">
    <cfRule type="cellIs" dxfId="2977" priority="309" stopIfTrue="1" operator="notBetween">
      <formula>$AI$37</formula>
      <formula>$AI$38</formula>
    </cfRule>
  </conditionalFormatting>
  <conditionalFormatting sqref="AE25 AE9:AE13 AE28:AE29 AE16:AE22">
    <cfRule type="cellIs" dxfId="2976" priority="310" stopIfTrue="1" operator="notBetween">
      <formula>$AE$37</formula>
      <formula>$AE$38</formula>
    </cfRule>
  </conditionalFormatting>
  <conditionalFormatting sqref="AJ25 AJ28:AJ29 AJ9:AJ13 AJ16:AJ22">
    <cfRule type="cellIs" dxfId="2975" priority="311" stopIfTrue="1" operator="notBetween">
      <formula>$AJ$37</formula>
      <formula>$AJ$38</formula>
    </cfRule>
  </conditionalFormatting>
  <conditionalFormatting sqref="AL25 AL28:AL29 AL9:AL13 AL16:AL22">
    <cfRule type="cellIs" dxfId="2974" priority="313" stopIfTrue="1" operator="notBetween">
      <formula>$AL$37</formula>
      <formula>$AL$38</formula>
    </cfRule>
  </conditionalFormatting>
  <conditionalFormatting sqref="AM25 AM9:AM13 AM28:AM29 AM16:AM22">
    <cfRule type="cellIs" dxfId="2973" priority="317" stopIfTrue="1" operator="notBetween">
      <formula>$AM$37</formula>
      <formula>$AM$38</formula>
    </cfRule>
  </conditionalFormatting>
  <conditionalFormatting sqref="AN25 AN9:AN13 AN28:AN29 AN16:AN22">
    <cfRule type="cellIs" dxfId="2972" priority="318" stopIfTrue="1" operator="notBetween">
      <formula>$AN$37</formula>
      <formula>$AN$38</formula>
    </cfRule>
  </conditionalFormatting>
  <conditionalFormatting sqref="AO25 AO9:AO13 AO28:AO29 AO16:AO22">
    <cfRule type="cellIs" dxfId="2971" priority="319" stopIfTrue="1" operator="notBetween">
      <formula>$AO$37</formula>
      <formula>$AO$38</formula>
    </cfRule>
  </conditionalFormatting>
  <conditionalFormatting sqref="F16:F22 F9:F13 F25 F28:F29">
    <cfRule type="cellIs" dxfId="2970" priority="321" stopIfTrue="1" operator="notBetween">
      <formula>$F$37</formula>
      <formula>$F$38</formula>
    </cfRule>
  </conditionalFormatting>
  <conditionalFormatting sqref="AP25 AP28:AP29 AP9:AP13 AP16:AP22">
    <cfRule type="cellIs" dxfId="2969" priority="253" stopIfTrue="1" operator="notBetween">
      <formula>$AP$37</formula>
      <formula>$AP$38</formula>
    </cfRule>
  </conditionalFormatting>
  <conditionalFormatting sqref="AQ9:AQ13 AQ16:AQ22 AQ25 AQ28:AQ29">
    <cfRule type="cellIs" dxfId="2968" priority="250" stopIfTrue="1" operator="notBetween">
      <formula>$AQ$37</formula>
      <formula>$AQ$38</formula>
    </cfRule>
  </conditionalFormatting>
  <conditionalFormatting sqref="AS16:AS22 AS9:AS13 AS25 AS28:AS29">
    <cfRule type="cellIs" dxfId="2967" priority="249" stopIfTrue="1" operator="notBetween">
      <formula>$AS$37</formula>
      <formula>$AS$38</formula>
    </cfRule>
  </conditionalFormatting>
  <conditionalFormatting sqref="AR25 AR9:AR13 AR28:AR29 AR16:AR22">
    <cfRule type="cellIs" dxfId="2966" priority="376" stopIfTrue="1" operator="notBetween">
      <formula>$AR$37</formula>
      <formula>$AR$38</formula>
    </cfRule>
  </conditionalFormatting>
  <conditionalFormatting sqref="AV25 AV9:AV13 AV28:AV29 AV16:AV22">
    <cfRule type="cellIs" dxfId="2965" priority="377" stopIfTrue="1" operator="notBetween">
      <formula>$AV$37</formula>
      <formula>$AV$38</formula>
    </cfRule>
  </conditionalFormatting>
  <conditionalFormatting sqref="BE9:BL13 BE25:BL25 BE16:BL22 BE28:BL29">
    <cfRule type="cellIs" dxfId="2964" priority="757" stopIfTrue="1" operator="equal">
      <formula>$A$43</formula>
    </cfRule>
  </conditionalFormatting>
  <conditionalFormatting sqref="BE8:BL8 BE14:BL15 BE23:BL24 BE30:BL31 BE26:BL27">
    <cfRule type="cellIs" dxfId="2963" priority="758" stopIfTrue="1" operator="equal">
      <formula>$A$43</formula>
    </cfRule>
  </conditionalFormatting>
  <conditionalFormatting sqref="N12">
    <cfRule type="cellIs" dxfId="2962" priority="768" stopIfTrue="1" operator="greaterThan">
      <formula>$BF$12</formula>
    </cfRule>
    <cfRule type="cellIs" dxfId="2961" priority="769" stopIfTrue="1" operator="lessThan">
      <formula>$BE$12</formula>
    </cfRule>
  </conditionalFormatting>
  <conditionalFormatting sqref="H21">
    <cfRule type="cellIs" dxfId="2960" priority="792" stopIfTrue="1" operator="greaterThan">
      <formula>$BF$21</formula>
    </cfRule>
    <cfRule type="cellIs" dxfId="2959" priority="793" stopIfTrue="1" operator="lessThan">
      <formula>$BE$21</formula>
    </cfRule>
  </conditionalFormatting>
  <conditionalFormatting sqref="I21">
    <cfRule type="cellIs" dxfId="2958" priority="872" stopIfTrue="1" operator="greaterThan">
      <formula>$BH$21</formula>
    </cfRule>
    <cfRule type="cellIs" dxfId="2957" priority="873" stopIfTrue="1" operator="lessThan">
      <formula>$BG$21</formula>
    </cfRule>
  </conditionalFormatting>
  <conditionalFormatting sqref="J21">
    <cfRule type="cellIs" dxfId="2956" priority="950" stopIfTrue="1" operator="greaterThan">
      <formula>$BJ$21</formula>
    </cfRule>
    <cfRule type="cellIs" dxfId="2955" priority="951" stopIfTrue="1" operator="lessThan">
      <formula>$BI$21</formula>
    </cfRule>
  </conditionalFormatting>
  <conditionalFormatting sqref="N9">
    <cfRule type="cellIs" dxfId="2954" priority="1264" stopIfTrue="1" operator="greaterThan">
      <formula>$BL$9</formula>
    </cfRule>
    <cfRule type="cellIs" dxfId="2953" priority="1265" stopIfTrue="1" operator="lessThan">
      <formula>$BK$9</formula>
    </cfRule>
  </conditionalFormatting>
  <conditionalFormatting sqref="N10">
    <cfRule type="cellIs" dxfId="2952" priority="1268" stopIfTrue="1" operator="greaterThan">
      <formula>$BL$10</formula>
    </cfRule>
    <cfRule type="cellIs" dxfId="2951" priority="1269" stopIfTrue="1" operator="lessThan">
      <formula>$BK$10</formula>
    </cfRule>
  </conditionalFormatting>
  <conditionalFormatting sqref="N11">
    <cfRule type="cellIs" dxfId="2950" priority="1272" stopIfTrue="1" operator="greaterThan">
      <formula>$BL$11</formula>
    </cfRule>
    <cfRule type="cellIs" dxfId="2949" priority="1273" stopIfTrue="1" operator="lessThan">
      <formula>$BK$11</formula>
    </cfRule>
  </conditionalFormatting>
  <conditionalFormatting sqref="N13">
    <cfRule type="cellIs" dxfId="2948" priority="1276" stopIfTrue="1" operator="greaterThan">
      <formula>$BL$13</formula>
    </cfRule>
    <cfRule type="cellIs" dxfId="2947" priority="1277" stopIfTrue="1" operator="lessThan">
      <formula>$BK$13</formula>
    </cfRule>
  </conditionalFormatting>
  <conditionalFormatting sqref="N16">
    <cfRule type="cellIs" dxfId="2946" priority="1288" stopIfTrue="1" operator="greaterThan">
      <formula>$BL$16</formula>
    </cfRule>
    <cfRule type="cellIs" dxfId="2945" priority="1289" stopIfTrue="1" operator="lessThan">
      <formula>$BK$16</formula>
    </cfRule>
  </conditionalFormatting>
  <conditionalFormatting sqref="N20">
    <cfRule type="cellIs" dxfId="2944" priority="1294" stopIfTrue="1" operator="greaterThan">
      <formula>$BL$20</formula>
    </cfRule>
    <cfRule type="cellIs" dxfId="2943" priority="1295" stopIfTrue="1" operator="lessThan">
      <formula>$BK$20</formula>
    </cfRule>
  </conditionalFormatting>
  <conditionalFormatting sqref="N21">
    <cfRule type="cellIs" dxfId="2942" priority="1296" stopIfTrue="1" operator="greaterThan">
      <formula>$BL$21</formula>
    </cfRule>
    <cfRule type="cellIs" dxfId="2941" priority="1297" stopIfTrue="1" operator="lessThan">
      <formula>$BK$21</formula>
    </cfRule>
  </conditionalFormatting>
  <conditionalFormatting sqref="N22">
    <cfRule type="cellIs" dxfId="2940" priority="1298" stopIfTrue="1" operator="greaterThan">
      <formula>$BL$22</formula>
    </cfRule>
    <cfRule type="cellIs" dxfId="2939" priority="1299" stopIfTrue="1" operator="lessThan">
      <formula>$BK$22</formula>
    </cfRule>
  </conditionalFormatting>
  <conditionalFormatting sqref="N25">
    <cfRule type="cellIs" dxfId="2938" priority="1318" stopIfTrue="1" operator="greaterThan">
      <formula>$BL$25</formula>
    </cfRule>
    <cfRule type="cellIs" dxfId="2937" priority="1319" stopIfTrue="1" operator="lessThan">
      <formula>$BK$25</formula>
    </cfRule>
  </conditionalFormatting>
  <conditionalFormatting sqref="N28">
    <cfRule type="cellIs" dxfId="2936" priority="1328" stopIfTrue="1" operator="greaterThan">
      <formula>$BL$28</formula>
    </cfRule>
    <cfRule type="cellIs" dxfId="2935" priority="1329" stopIfTrue="1" operator="lessThan">
      <formula>$BK$28</formula>
    </cfRule>
  </conditionalFormatting>
  <conditionalFormatting sqref="N29">
    <cfRule type="cellIs" dxfId="2934" priority="1330" stopIfTrue="1" operator="greaterThan">
      <formula>$BL$29</formula>
    </cfRule>
    <cfRule type="cellIs" dxfId="2933" priority="1331" stopIfTrue="1" operator="lessThan">
      <formula>$BK$29</formula>
    </cfRule>
  </conditionalFormatting>
  <conditionalFormatting sqref="L25 L9:L13 L28:L29 L16:L22">
    <cfRule type="cellIs" dxfId="2932" priority="1342" stopIfTrue="1" operator="notBetween">
      <formula>$L$37</formula>
      <formula>$L$38</formula>
    </cfRule>
  </conditionalFormatting>
  <conditionalFormatting sqref="M25 M9:M13 M28:M29 M16:M22">
    <cfRule type="cellIs" dxfId="2931" priority="1343" stopIfTrue="1" operator="notBetween">
      <formula>$M$37</formula>
      <formula>$M$38</formula>
    </cfRule>
  </conditionalFormatting>
  <conditionalFormatting sqref="P25:Q25 P28:Q29 P9:Q13 Q16:Q22">
    <cfRule type="cellIs" dxfId="2930" priority="1344" stopIfTrue="1" operator="notBetween">
      <formula>$Q$37</formula>
      <formula>$Q$38</formula>
    </cfRule>
  </conditionalFormatting>
  <conditionalFormatting sqref="R25 R9:R13 R28:R29 R16:R22">
    <cfRule type="cellIs" dxfId="2929" priority="1345" stopIfTrue="1" operator="notBetween">
      <formula>$R$37</formula>
      <formula>$R$38</formula>
    </cfRule>
  </conditionalFormatting>
  <conditionalFormatting sqref="S25 S28:S29 S9:S13 S16:S22">
    <cfRule type="cellIs" dxfId="2928" priority="1346" stopIfTrue="1" operator="notBetween">
      <formula>$S$37</formula>
      <formula>$S$38</formula>
    </cfRule>
  </conditionalFormatting>
  <conditionalFormatting sqref="T25 T28:T29 T9:T13 T16:T22">
    <cfRule type="cellIs" dxfId="2927" priority="1347" stopIfTrue="1" operator="notBetween">
      <formula>$T$37</formula>
      <formula>$T$38</formula>
    </cfRule>
  </conditionalFormatting>
  <conditionalFormatting sqref="X25 X9:X13 X28:X29 X16:X22">
    <cfRule type="cellIs" dxfId="2926" priority="1349" stopIfTrue="1" operator="notBetween">
      <formula>$X$37</formula>
      <formula>$X$38</formula>
    </cfRule>
  </conditionalFormatting>
  <conditionalFormatting sqref="Y25 Y9:Y13 Y28:Y29 Y16:Y22">
    <cfRule type="cellIs" dxfId="2925" priority="1350" stopIfTrue="1" operator="notBetween">
      <formula>$Y$37</formula>
      <formula>$Y$38</formula>
    </cfRule>
  </conditionalFormatting>
  <conditionalFormatting sqref="AB25 AB9:AB13 AB28:AB29 AB16:AB22">
    <cfRule type="cellIs" dxfId="2924" priority="1351" stopIfTrue="1" operator="notBetween">
      <formula>$AB$37</formula>
      <formula>$AB$38</formula>
    </cfRule>
  </conditionalFormatting>
  <conditionalFormatting sqref="AD25 AD9:AD13 AD28:AD29 AD16:AD22">
    <cfRule type="cellIs" dxfId="2923" priority="1352" stopIfTrue="1" operator="notBetween">
      <formula>$AD$37</formula>
      <formula>$AD$38</formula>
    </cfRule>
  </conditionalFormatting>
  <conditionalFormatting sqref="AH25 AH9:AH13 AH28:AH29 AH16:AH22">
    <cfRule type="cellIs" dxfId="2922" priority="1353" stopIfTrue="1" operator="notBetween">
      <formula>$AH$37</formula>
      <formula>$AH$38</formula>
    </cfRule>
  </conditionalFormatting>
  <conditionalFormatting sqref="AK25 AK9:AK13 AK28:AK29 AK16:AK22">
    <cfRule type="cellIs" dxfId="2921" priority="1354" stopIfTrue="1" operator="notBetween">
      <formula>$AK$37</formula>
      <formula>$AK$38</formula>
    </cfRule>
  </conditionalFormatting>
  <conditionalFormatting sqref="AT25 AT9:AT13 AT28:AT29 AT16:AT22">
    <cfRule type="cellIs" dxfId="2920" priority="1355" stopIfTrue="1" operator="notBetween">
      <formula>$AT$37</formula>
      <formula>$AT$38</formula>
    </cfRule>
  </conditionalFormatting>
  <conditionalFormatting sqref="AU25 AU9:AU13 AU28:AU29 AU16:AU22">
    <cfRule type="cellIs" dxfId="2919" priority="1356" stopIfTrue="1" operator="notBetween">
      <formula>$AU$37</formula>
      <formula>$AU$38</formula>
    </cfRule>
  </conditionalFormatting>
  <conditionalFormatting sqref="Z25 Z9:Z13 Z28:Z29 Z16:Z22">
    <cfRule type="cellIs" dxfId="2918" priority="1357" stopIfTrue="1" operator="notBetween">
      <formula>$Z$37</formula>
      <formula>$Z$38</formula>
    </cfRule>
  </conditionalFormatting>
  <conditionalFormatting sqref="AA25 AA28:AA29 AA9:AA13 AA16:AA22">
    <cfRule type="cellIs" dxfId="2917" priority="1358" stopIfTrue="1" operator="notBetween">
      <formula>$AA$37</formula>
      <formula>$AA$38</formula>
    </cfRule>
  </conditionalFormatting>
  <conditionalFormatting sqref="AC25 AC9:AC13 AC28:AC29 AC16:AC22">
    <cfRule type="cellIs" dxfId="2916" priority="1359" stopIfTrue="1" operator="notBetween">
      <formula>$AC$37</formula>
      <formula>$AC$38</formula>
    </cfRule>
  </conditionalFormatting>
  <conditionalFormatting sqref="AG25 AG9:AG13 AG28:AG29 AG16:AG22">
    <cfRule type="cellIs" dxfId="2915" priority="1718" stopIfTrue="1" operator="notBetween">
      <formula>$AG$37</formula>
      <formula>$AG$38</formula>
    </cfRule>
  </conditionalFormatting>
  <conditionalFormatting sqref="N18">
    <cfRule type="cellIs" dxfId="2914" priority="154" stopIfTrue="1" operator="greaterThan">
      <formula>$BL$18</formula>
    </cfRule>
    <cfRule type="cellIs" dxfId="2913" priority="155" stopIfTrue="1" operator="lessThan">
      <formula>$BK$18</formula>
    </cfRule>
  </conditionalFormatting>
  <conditionalFormatting sqref="N19">
    <cfRule type="cellIs" dxfId="2912" priority="152" stopIfTrue="1" operator="greaterThan">
      <formula>$BL$19</formula>
    </cfRule>
    <cfRule type="cellIs" dxfId="2911" priority="153" stopIfTrue="1" operator="lessThan">
      <formula>$BK$19</formula>
    </cfRule>
  </conditionalFormatting>
  <conditionalFormatting sqref="V16:V22 V9:V13">
    <cfRule type="cellIs" dxfId="2910" priority="142" stopIfTrue="1" operator="notBetween">
      <formula>$V$37</formula>
      <formula>$V$38</formula>
    </cfRule>
  </conditionalFormatting>
  <conditionalFormatting sqref="V25">
    <cfRule type="cellIs" dxfId="2909" priority="141" stopIfTrue="1" operator="notBetween">
      <formula>$V$37</formula>
      <formula>$V$38</formula>
    </cfRule>
  </conditionalFormatting>
  <conditionalFormatting sqref="V28:V29">
    <cfRule type="cellIs" dxfId="2908" priority="140" stopIfTrue="1" operator="notBetween">
      <formula>$V$37</formula>
      <formula>$V$38</formula>
    </cfRule>
  </conditionalFormatting>
  <conditionalFormatting sqref="N10">
    <cfRule type="cellIs" dxfId="2907" priority="136" stopIfTrue="1" operator="greaterThan">
      <formula>#REF!</formula>
    </cfRule>
    <cfRule type="cellIs" dxfId="2906" priority="137" stopIfTrue="1" operator="lessThan">
      <formula>#REF!</formula>
    </cfRule>
  </conditionalFormatting>
  <conditionalFormatting sqref="N13">
    <cfRule type="cellIs" dxfId="2905" priority="134" stopIfTrue="1" operator="greaterThan">
      <formula>#REF!</formula>
    </cfRule>
    <cfRule type="cellIs" dxfId="2904" priority="135" stopIfTrue="1" operator="lessThan">
      <formula>#REF!</formula>
    </cfRule>
  </conditionalFormatting>
  <conditionalFormatting sqref="N22">
    <cfRule type="cellIs" dxfId="2903" priority="128" stopIfTrue="1" operator="greaterThan">
      <formula>$BL$16</formula>
    </cfRule>
    <cfRule type="cellIs" dxfId="2902" priority="129" stopIfTrue="1" operator="lessThan">
      <formula>$BK$16</formula>
    </cfRule>
  </conditionalFormatting>
  <conditionalFormatting sqref="N18:N20">
    <cfRule type="cellIs" dxfId="2901" priority="126" stopIfTrue="1" operator="greaterThan">
      <formula>$BL$16</formula>
    </cfRule>
    <cfRule type="cellIs" dxfId="2900" priority="127" stopIfTrue="1" operator="lessThan">
      <formula>$BK$16</formula>
    </cfRule>
  </conditionalFormatting>
  <conditionalFormatting sqref="N25">
    <cfRule type="cellIs" dxfId="2899" priority="124" stopIfTrue="1" operator="greaterThan">
      <formula>$BL$16</formula>
    </cfRule>
    <cfRule type="cellIs" dxfId="2898" priority="125" stopIfTrue="1" operator="lessThan">
      <formula>$BK$16</formula>
    </cfRule>
  </conditionalFormatting>
  <conditionalFormatting sqref="N28:N29">
    <cfRule type="cellIs" dxfId="2897" priority="122" stopIfTrue="1" operator="greaterThan">
      <formula>$BL$25</formula>
    </cfRule>
    <cfRule type="cellIs" dxfId="2896" priority="123" stopIfTrue="1" operator="lessThan">
      <formula>$BK$25</formula>
    </cfRule>
  </conditionalFormatting>
  <conditionalFormatting sqref="N28:N29">
    <cfRule type="cellIs" dxfId="2895" priority="120" stopIfTrue="1" operator="greaterThan">
      <formula>$BL$16</formula>
    </cfRule>
    <cfRule type="cellIs" dxfId="2894" priority="121" stopIfTrue="1" operator="lessThan">
      <formula>$BK$16</formula>
    </cfRule>
  </conditionalFormatting>
  <conditionalFormatting sqref="N11:N12">
    <cfRule type="cellIs" dxfId="2893" priority="110" stopIfTrue="1" operator="greaterThan">
      <formula>$BL$9</formula>
    </cfRule>
    <cfRule type="cellIs" dxfId="2892" priority="111" stopIfTrue="1" operator="lessThan">
      <formula>$BK$9</formula>
    </cfRule>
  </conditionalFormatting>
  <conditionalFormatting sqref="P16:P22">
    <cfRule type="cellIs" dxfId="2891" priority="108" stopIfTrue="1" operator="notBetween">
      <formula>$Q$37</formula>
      <formula>$Q$38</formula>
    </cfRule>
  </conditionalFormatting>
  <conditionalFormatting sqref="P17">
    <cfRule type="cellIs" dxfId="2890" priority="107" stopIfTrue="1" operator="notBetween">
      <formula>$Q$37</formula>
      <formula>$Q$38</formula>
    </cfRule>
  </conditionalFormatting>
  <conditionalFormatting sqref="N17">
    <cfRule type="cellIs" dxfId="2889" priority="784" stopIfTrue="1" operator="greaterThan">
      <formula>$BF$17</formula>
    </cfRule>
    <cfRule type="cellIs" dxfId="2888" priority="785" stopIfTrue="1" operator="lessThan">
      <formula>$BE$17</formula>
    </cfRule>
  </conditionalFormatting>
  <conditionalFormatting sqref="O17">
    <cfRule type="cellIs" dxfId="2887" priority="91" stopIfTrue="1" operator="lessThan">
      <formula>$BK$17</formula>
    </cfRule>
    <cfRule type="cellIs" dxfId="2886" priority="92" stopIfTrue="1" operator="greaterThan">
      <formula>$BL$17</formula>
    </cfRule>
  </conditionalFormatting>
  <conditionalFormatting sqref="O12">
    <cfRule type="expression" dxfId="2885" priority="1720" stopIfTrue="1">
      <formula>$O$12&lt;$BK$12</formula>
    </cfRule>
    <cfRule type="expression" dxfId="2884" priority="1721" stopIfTrue="1">
      <formula>$O$12&gt;$BL$12</formula>
    </cfRule>
  </conditionalFormatting>
  <conditionalFormatting sqref="O10">
    <cfRule type="expression" dxfId="2883" priority="81" stopIfTrue="1">
      <formula>$O$12&lt;$BK$12</formula>
    </cfRule>
    <cfRule type="expression" dxfId="2882" priority="82" stopIfTrue="1">
      <formula>$O$12&gt;$BL$12</formula>
    </cfRule>
  </conditionalFormatting>
  <conditionalFormatting sqref="O18">
    <cfRule type="cellIs" dxfId="2881" priority="79" stopIfTrue="1" operator="lessThan">
      <formula>$BK$17</formula>
    </cfRule>
    <cfRule type="cellIs" dxfId="2880" priority="80" stopIfTrue="1" operator="greaterThan">
      <formula>$BL$17</formula>
    </cfRule>
  </conditionalFormatting>
  <conditionalFormatting sqref="H11">
    <cfRule type="cellIs" dxfId="2879" priority="71" stopIfTrue="1" operator="greaterThan">
      <formula>$BF$11</formula>
    </cfRule>
    <cfRule type="cellIs" dxfId="2878" priority="72" stopIfTrue="1" operator="lessThan">
      <formula>$BE$11</formula>
    </cfRule>
  </conditionalFormatting>
  <conditionalFormatting sqref="H12">
    <cfRule type="cellIs" dxfId="2877" priority="69" stopIfTrue="1" operator="greaterThan">
      <formula>$BF$12</formula>
    </cfRule>
    <cfRule type="cellIs" dxfId="2876" priority="70" stopIfTrue="1" operator="lessThan">
      <formula>$BE$12</formula>
    </cfRule>
  </conditionalFormatting>
  <conditionalFormatting sqref="AI28">
    <cfRule type="cellIs" dxfId="2875"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MELILLA</v>
      </c>
      <c r="E4" s="287"/>
    </row>
    <row r="5" spans="2:20" ht="12.75" customHeight="1">
      <c r="B5" s="297"/>
      <c r="C5" s="1642" t="str">
        <f>"Año:  " &amp;Criterios!B5 &amp; "          Trimestre   " &amp;Criterios!D5 &amp; " al " &amp;Criterios!D6</f>
        <v>Año:  2021          Trimestre   3 al 3</v>
      </c>
      <c r="D5" s="1630" t="s">
        <v>168</v>
      </c>
      <c r="E5" s="1672" t="s">
        <v>18</v>
      </c>
      <c r="F5" s="1669" t="s">
        <v>14</v>
      </c>
      <c r="G5" s="1666" t="s">
        <v>169</v>
      </c>
      <c r="H5" s="1663" t="s">
        <v>12</v>
      </c>
      <c r="I5" s="1627" t="s">
        <v>160</v>
      </c>
      <c r="J5" s="1656" t="s">
        <v>161</v>
      </c>
      <c r="K5" s="1618" t="s">
        <v>162</v>
      </c>
      <c r="M5" s="175"/>
      <c r="N5" s="183" t="s">
        <v>347</v>
      </c>
      <c r="O5" s="175"/>
      <c r="P5" s="175"/>
      <c r="Q5" s="184" t="s">
        <v>348</v>
      </c>
      <c r="R5" s="184"/>
      <c r="S5" s="182"/>
      <c r="T5" s="182"/>
    </row>
    <row r="6" spans="2:20" ht="12.75" customHeight="1">
      <c r="B6" s="298"/>
      <c r="C6" s="1643"/>
      <c r="D6" s="1631"/>
      <c r="E6" s="1673"/>
      <c r="F6" s="1670"/>
      <c r="G6" s="1667"/>
      <c r="H6" s="1664"/>
      <c r="I6" s="1628"/>
      <c r="J6" s="1657"/>
      <c r="K6" s="1619"/>
      <c r="M6" s="1659" t="s">
        <v>363</v>
      </c>
      <c r="N6" s="1659" t="s">
        <v>344</v>
      </c>
      <c r="O6" s="1659" t="s">
        <v>345</v>
      </c>
      <c r="P6" s="1659" t="s">
        <v>346</v>
      </c>
      <c r="Q6" s="1659" t="s">
        <v>363</v>
      </c>
      <c r="R6" s="1659" t="s">
        <v>344</v>
      </c>
      <c r="S6" s="1659" t="s">
        <v>345</v>
      </c>
      <c r="T6" s="1659" t="s">
        <v>346</v>
      </c>
    </row>
    <row r="7" spans="2:20" ht="23.25" customHeight="1" thickBot="1">
      <c r="B7" s="299"/>
      <c r="C7" s="288" t="str">
        <f>Datos!A7</f>
        <v>COMPETENCIAS</v>
      </c>
      <c r="D7" s="1675"/>
      <c r="E7" s="1674"/>
      <c r="F7" s="1671"/>
      <c r="G7" s="1668"/>
      <c r="H7" s="1665"/>
      <c r="I7" s="1676"/>
      <c r="J7" s="1660"/>
      <c r="K7" s="1661"/>
      <c r="M7" s="1659"/>
      <c r="N7" s="1659"/>
      <c r="O7" s="1659"/>
      <c r="P7" s="1659"/>
      <c r="Q7" s="1659"/>
      <c r="R7" s="1659"/>
      <c r="S7" s="1659"/>
      <c r="T7" s="1659"/>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314</v>
      </c>
      <c r="C10" s="7" t="str">
        <f>Datos!A10</f>
        <v>Jdos. Violencia contra la mujer</v>
      </c>
      <c r="D10" s="398">
        <f>IF(ISNUMBER((Datos!I10-Datos!S10)/Datos!S10),(Datos!I10-Datos!S10)/Datos!S10," - ")</f>
        <v>-0.30508474576271188</v>
      </c>
      <c r="E10" s="394">
        <f>IF(ISNUMBER((Datos!J10-Datos!T10)/Datos!T10),(Datos!J10-Datos!T10)/Datos!T10," - ")</f>
        <v>-0.60869565217391308</v>
      </c>
      <c r="F10" s="394">
        <f>IF(ISNUMBER((Datos!K10-Datos!U10)/Datos!U10),(Datos!K10-Datos!U10)/Datos!U10," - ")</f>
        <v>-0.3</v>
      </c>
      <c r="G10" s="395">
        <f>IF(ISNUMBER((Datos!L10-Datos!V10)/Datos!V10),(Datos!L10-Datos!V10)/Datos!V10," - ")</f>
        <v>-0.41935483870967744</v>
      </c>
      <c r="H10" s="244">
        <f>IF(ISNUMBER((Datos!M10-Datos!W10)/Datos!W10),(Datos!M10-Datos!W10)/Datos!W10," - ")</f>
        <v>0</v>
      </c>
      <c r="I10" s="396">
        <f>IF(ISNUMBER((Tasas!C10-Datos!BE10)/Datos!BE10),(Tasas!C10-Datos!BE10)/Datos!BE10," - ")</f>
        <v>-0.17050691244239627</v>
      </c>
      <c r="J10" s="395">
        <f>IF(ISNUMBER((Tasas!D10-Datos!BF10)/Datos!BF10),(Tasas!D10-Datos!BF10)/Datos!BF10," - ")</f>
        <v>0.42857142857142855</v>
      </c>
      <c r="K10" s="397">
        <f>IF(ISNUMBER((Tasas!E10-Datos!BG10)/Datos!BG10),(Tasas!E10-Datos!BG10)/Datos!BG10," - ")</f>
        <v>-0.12891986062717758</v>
      </c>
    </row>
    <row r="11" spans="2:20" ht="14.25">
      <c r="B11" s="300" t="s">
        <v>314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-0.17142857142857143</v>
      </c>
      <c r="I12" s="396">
        <f>IF(ISNUMBER((Tasas!C12-Datos!BE12)/Datos!BE12),(Tasas!C12-Datos!BE12)/Datos!BE12," - ")</f>
        <v>0.20191428138724821</v>
      </c>
      <c r="J12" s="395">
        <f>IF(ISNUMBER((Tasas!D12-Datos!BF12)/Datos!BF12),(Tasas!D12-Datos!BF12)/Datos!BF12," - ")</f>
        <v>-0.58164746052069993</v>
      </c>
      <c r="K12" s="397">
        <f>IF(ISNUMBER((Tasas!E12-Datos!BG12)/Datos!BG12),(Tasas!E12-Datos!BG12)/Datos!BG12," - ")</f>
        <v>0.1068535602152397</v>
      </c>
      <c r="M12" t="e">
        <f>IF(Monitorios="SI",Datos!CE12,0)</f>
        <v>#REF!</v>
      </c>
      <c r="N12" t="e">
        <f>IF(Monitorios="SI",Datos!CF12,0)</f>
        <v>#REF!</v>
      </c>
      <c r="O12" t="e">
        <f>IF(Monitorios="SI",Datos!CG12,0)</f>
        <v>#REF!</v>
      </c>
      <c r="P12" t="e">
        <f>IF(Monitorios="SI",Datos!CH12,0)</f>
        <v>#REF!</v>
      </c>
      <c r="Q12">
        <f>IF(J_V="SI",0,Datos!AG12)</f>
        <v>106</v>
      </c>
      <c r="R12">
        <f>IF(J_V="SI",0,Datos!AH12)</f>
        <v>98</v>
      </c>
      <c r="S12">
        <f>IF(J_V="SI",0,Datos!AI12)</f>
        <v>90</v>
      </c>
      <c r="T12">
        <f>IF(J_V="SI",0,Datos!AJ12)</f>
        <v>114</v>
      </c>
    </row>
    <row r="13" spans="2:20" ht="15" thickBot="1">
      <c r="B13" s="300" t="s">
        <v>314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-0.16216216216216217</v>
      </c>
      <c r="I14" s="403">
        <f>IF(ISNUMBER((Tasas!C14-Datos!BE14)/Datos!BE14),(Tasas!C14-Datos!BE14)/Datos!BE14," - ")</f>
        <v>0.18817140968007939</v>
      </c>
      <c r="J14" s="401">
        <f>IF(ISNUMBER((Tasas!D14-Datos!BF14)/Datos!BF14),(Tasas!D14-Datos!BF14)/Datos!BF14," - ")</f>
        <v>-0.56139804035831908</v>
      </c>
      <c r="K14" s="404">
        <f>IF(ISNUMBER((Tasas!E14-Datos!BG14)/Datos!BG14),(Tasas!E14-Datos!BG14)/Datos!BG14," - ")</f>
        <v>9.8638200970855849E-2</v>
      </c>
      <c r="M14" t="e">
        <f>IF(Monitorios="SI",Datos!CE14,0)</f>
        <v>#REF!</v>
      </c>
      <c r="N14" t="e">
        <f>IF(Monitorios="SI",Datos!CF14,0)</f>
        <v>#REF!</v>
      </c>
      <c r="O14" t="e">
        <f>IF(Monitorios="SI",Datos!CG14,0)</f>
        <v>#REF!</v>
      </c>
      <c r="P14" t="e">
        <f>IF(Monitorios="SI",Datos!CH14,0)</f>
        <v>#REF!</v>
      </c>
      <c r="Q14">
        <f>IF(J_V="SI",0,Datos!AG14)</f>
        <v>106</v>
      </c>
      <c r="R14">
        <f>IF(J_V="SI",0,Datos!AH14)</f>
        <v>98</v>
      </c>
      <c r="S14">
        <f>IF(J_V="SI",0,Datos!AI14)</f>
        <v>90</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504</v>
      </c>
      <c r="C17" s="7" t="str">
        <f>Datos!A17</f>
        <v xml:space="preserve">Jdos. 1ª Instª. e Instr.                        </v>
      </c>
      <c r="D17" s="398">
        <f>IF(ISNUMBER(
   IF(D_I="SI",(Datos!I17-Datos!S17)/Datos!S17,(Datos!I17+Datos!AC17-(Datos!S17+Datos!AK17))/(Datos!S17+Datos!AK17))
     ),IF(D_I="SI",(Datos!I17-Datos!S17)/Datos!S17,(Datos!I17+Datos!AC17-(Datos!S17+Datos!AK17))/(Datos!S17+Datos!AK17))," - ")</f>
        <v>3.6706869428421605E-3</v>
      </c>
      <c r="E17" s="394">
        <f>IF(ISNUMBER(
   IF(D_I="SI",(Datos!J17-Datos!T17)/Datos!T17,(Datos!J17+Datos!AD17-(Datos!T17+Datos!AL17))/(Datos!T17+Datos!AL17))
     ),IF(D_I="SI",(Datos!J17-Datos!T17)/Datos!T17,(Datos!J17+Datos!AD17-(Datos!T17+Datos!AL17))/(Datos!T17+Datos!AL17))," - ")</f>
        <v>2.1943573667711599E-2</v>
      </c>
      <c r="F17" s="394">
        <f>IF(ISNUMBER(
   IF(D_I="SI",(Datos!K17-Datos!U17)/Datos!U17,(Datos!K17+Datos!AE17-(Datos!U17+Datos!AM17))/(Datos!U17+Datos!AM17))
     ),IF(D_I="SI",(Datos!K17-Datos!U17)/Datos!U17,(Datos!K17+Datos!AE17-(Datos!U17+Datos!AM17))/(Datos!U17+Datos!AM17))," - ")</f>
        <v>1.1627906976744186E-2</v>
      </c>
      <c r="G17" s="395">
        <f>IF(ISNUMBER(
   IF(D_I="SI",(Datos!L17-Datos!V17)/Datos!V17,(Datos!L17+Datos!AF17-(Datos!V17+Datos!AN17))/(Datos!V17+Datos!AN17))
     ),IF(D_I="SI",(Datos!L17-Datos!V17)/Datos!V17,(Datos!L17+Datos!AF17-(Datos!V17+Datos!AN17))/(Datos!V17+Datos!AN17))," - ")</f>
        <v>1.1597258829731154E-2</v>
      </c>
      <c r="H17" s="244">
        <f>IF(ISNUMBER((Datos!M17-Datos!W17)/Datos!W17),(Datos!M17-Datos!W17)/Datos!W17," - ")</f>
        <v>5.5900621118012424E-2</v>
      </c>
      <c r="I17" s="396">
        <f>IF(ISNUMBER((Tasas!C17-Datos!BE17)/Datos!BE17),(Tasas!C17-Datos!BE17)/Datos!BE17," - ")</f>
        <v>-3.0295869461140367E-5</v>
      </c>
      <c r="J17" s="395">
        <f>IF(ISNUMBER((Tasas!D17-Datos!BF17)/Datos!BF17),(Tasas!D17-Datos!BF17)/Datos!BF17," - ")</f>
        <v>4.3763832369529389E-2</v>
      </c>
      <c r="K17" s="397">
        <f>IF(ISNUMBER((Tasas!E17-Datos!BG17)/Datos!BG17),(Tasas!E17-Datos!BG17)/Datos!BG17," - ")</f>
        <v>-6.2472690767417685E-4</v>
      </c>
    </row>
    <row r="18" spans="2:20" ht="14.25">
      <c r="B18" s="300" t="s">
        <v>504</v>
      </c>
      <c r="C18" s="7" t="str">
        <f>Datos!A18</f>
        <v>Jdos. Violencia contra la mujer</v>
      </c>
      <c r="D18" s="398">
        <f>IF(ISNUMBER(
   IF(D_I="SI",(Datos!I18-Datos!S18)/Datos!S18,(Datos!I18+Datos!AC18-(Datos!S18+Datos!AK18))/(Datos!S18+Datos!AK18))
     ),IF(D_I="SI",(Datos!I18-Datos!S18)/Datos!S18,(Datos!I18+Datos!AC18-(Datos!S18+Datos!AK18))/(Datos!S18+Datos!AK18))," - ")</f>
        <v>-0.1111111111111111</v>
      </c>
      <c r="E18" s="394">
        <f>IF(ISNUMBER(
   IF(D_I="SI",(Datos!J18-Datos!T18)/Datos!T18,(Datos!J18+Datos!AD18-(Datos!T18+Datos!AL18))/(Datos!T18+Datos!AL18))
     ),IF(D_I="SI",(Datos!J18-Datos!T18)/Datos!T18,(Datos!J18+Datos!AD18-(Datos!T18+Datos!AL18))/(Datos!T18+Datos!AL18))," - ")</f>
        <v>-5.1948051948051951E-2</v>
      </c>
      <c r="F18" s="394">
        <f>IF(ISNUMBER(
   IF(D_I="SI",(Datos!K18-Datos!U18)/Datos!U18,(Datos!K18+Datos!AE18-(Datos!U18+Datos!AM18))/(Datos!U18+Datos!AM18))
     ),IF(D_I="SI",(Datos!K18-Datos!U18)/Datos!U18,(Datos!K18+Datos!AE18-(Datos!U18+Datos!AM18))/(Datos!U18+Datos!AM18))," - ")</f>
        <v>-0.23404255319148937</v>
      </c>
      <c r="G18" s="395">
        <f>IF(ISNUMBER(
   IF(D_I="SI",(Datos!L18-Datos!V18)/Datos!V18,(Datos!L18+Datos!AF18-(Datos!V18+Datos!AN18))/(Datos!V18+Datos!AN18))
     ),IF(D_I="SI",(Datos!L18-Datos!V18)/Datos!V18,(Datos!L18+Datos!AF18-(Datos!V18+Datos!AN18))/(Datos!V18+Datos!AN18))," - ")</f>
        <v>0.4642857142857143</v>
      </c>
      <c r="H18" s="244">
        <f>IF(ISNUMBER((Datos!M18-Datos!W18)/Datos!W18),(Datos!M18-Datos!W18)/Datos!W18," - ")</f>
        <v>-0.1875</v>
      </c>
      <c r="I18" s="396">
        <f>IF(ISNUMBER((Tasas!C18-Datos!BE18)/Datos!BE18),(Tasas!C18-Datos!BE18)/Datos!BE18," - ")</f>
        <v>0.91170634920634919</v>
      </c>
      <c r="J18" s="395">
        <f>IF(ISNUMBER((Tasas!D18-Datos!BF18)/Datos!BF18),(Tasas!D18-Datos!BF18)/Datos!BF18," - ")</f>
        <v>6.0763888888888895E-2</v>
      </c>
      <c r="K18" s="397">
        <f>IF(ISNUMBER((Tasas!E18-Datos!BG18)/Datos!BG18),(Tasas!E18-Datos!BG18)/Datos!BG18," - ")</f>
        <v>0.20924408014571949</v>
      </c>
    </row>
    <row r="19" spans="2:20" ht="14.25">
      <c r="B19" s="300" t="s">
        <v>504</v>
      </c>
      <c r="C19" s="7" t="str">
        <f>Datos!A19</f>
        <v xml:space="preserve">Jdos. de Menores                                </v>
      </c>
      <c r="D19" s="398">
        <f>IF(ISNUMBER((Datos!I19-Datos!S19)/Datos!S19),(Datos!I19-Datos!S19)/Datos!S19," - ")</f>
        <v>-0.13375796178343949</v>
      </c>
      <c r="E19" s="394">
        <f>IF(ISNUMBER((Datos!J19-Datos!T19)/Datos!T19),(Datos!J19-Datos!T19)/Datos!T19," - ")</f>
        <v>-0.28000000000000003</v>
      </c>
      <c r="F19" s="394">
        <f>IF(ISNUMBER((Datos!K19-Datos!U19)/Datos!U19),(Datos!K19-Datos!U19)/Datos!U19," - ")</f>
        <v>0.55000000000000004</v>
      </c>
      <c r="G19" s="395">
        <f>IF(ISNUMBER((Datos!L19-Datos!V19)/Datos!V19),(Datos!L19-Datos!V19)/Datos!V19," - ")</f>
        <v>-0.2917933130699088</v>
      </c>
      <c r="H19" s="244">
        <f>IF(ISNUMBER((Datos!M19-Datos!W19)/Datos!W19),(Datos!M19-Datos!W19)/Datos!W19," - ")</f>
        <v>-7.8947368421052627E-2</v>
      </c>
      <c r="I19" s="396">
        <f>IF(ISNUMBER((Tasas!C19-Datos!BE19)/Datos!BE19),(Tasas!C19-Datos!BE19)/Datos!BE19," - ")</f>
        <v>-0.54309246004510248</v>
      </c>
      <c r="J19" s="395">
        <f>IF(ISNUMBER((Tasas!D19-Datos!BF19)/Datos!BF19),(Tasas!D19-Datos!BF19)/Datos!BF19," - ")</f>
        <v>-0.40577249575551783</v>
      </c>
      <c r="K19" s="397">
        <f>IF(ISNUMBER((Tasas!E19-Datos!BG19)/Datos!BG19),(Tasas!E19-Datos!BG19)/Datos!BG19," - ")</f>
        <v>-0.45932498548801726</v>
      </c>
    </row>
    <row r="20" spans="2:20" ht="14.25">
      <c r="B20" s="300" t="s">
        <v>504</v>
      </c>
      <c r="C20" s="7" t="str">
        <f>Datos!A20</f>
        <v xml:space="preserve">Jdos. Vigilancia Penitenciaria                  </v>
      </c>
      <c r="D20" s="398">
        <f>IF(ISNUMBER((Datos!I20-Datos!S20)/Datos!S20),(Datos!I20-Datos!S20)/Datos!S20," - ")</f>
        <v>-0.23255813953488372</v>
      </c>
      <c r="E20" s="394">
        <f>IF(ISNUMBER((Datos!J20-Datos!T20)/Datos!T20),(Datos!J20-Datos!T20)/Datos!T20," - ")</f>
        <v>0.34306569343065696</v>
      </c>
      <c r="F20" s="394">
        <f>IF(ISNUMBER((Datos!K20-Datos!U20)/Datos!U20),(Datos!K20-Datos!U20)/Datos!U20," - ")</f>
        <v>7.2847682119205295E-2</v>
      </c>
      <c r="G20" s="395">
        <f>IF(ISNUMBER((Datos!L20-Datos!V20)/Datos!V20),(Datos!L20-Datos!V20)/Datos!V20," - ")</f>
        <v>0.89655172413793105</v>
      </c>
      <c r="H20" s="244" t="str">
        <f>IF(ISNUMBER((Datos!M20-Datos!W20)/Datos!W20),(Datos!M20-Datos!W20)/Datos!W20," - ")</f>
        <v xml:space="preserve"> - </v>
      </c>
      <c r="I20" s="396">
        <f>IF(ISNUMBER((Tasas!C20-Datos!BE20)/Datos!BE20),(Tasas!C20-Datos!BE20)/Datos!BE20," - ")</f>
        <v>0.76777352064708382</v>
      </c>
      <c r="J20" s="395" t="str">
        <f>IF(ISNUMBER((Tasas!D20-Datos!BF20)/Datos!BF20),(Tasas!D20-Datos!BF20)/Datos!BF20," - ")</f>
        <v xml:space="preserve"> - </v>
      </c>
      <c r="K20" s="397">
        <f>IF(ISNUMBER((Tasas!E20-Datos!BG20)/Datos!BG20),(Tasas!E20-Datos!BG20)/Datos!BG20," - ")</f>
        <v>0.12369684499314117</v>
      </c>
    </row>
    <row r="21" spans="2:20" ht="14.25">
      <c r="B21" s="300" t="s">
        <v>504</v>
      </c>
      <c r="C21" s="7" t="str">
        <f>Datos!A21</f>
        <v xml:space="preserve">Jdos. de lo Penal                               </v>
      </c>
      <c r="D21" s="398">
        <f>IF(ISNUMBER((Datos!I21-Datos!S21)/Datos!S21),(Datos!I21-Datos!S21)/Datos!S21," - ")</f>
        <v>0.45985401459854014</v>
      </c>
      <c r="E21" s="394">
        <f>IF(ISNUMBER((Datos!J21-Datos!T21)/Datos!T21),(Datos!J21-Datos!T21)/Datos!T21," - ")</f>
        <v>-1.3513513513513514E-2</v>
      </c>
      <c r="F21" s="394">
        <f>IF(ISNUMBER((Datos!K21-Datos!U21)/Datos!U21),(Datos!K21-Datos!U21)/Datos!U21," - ")</f>
        <v>1.3648648648648649</v>
      </c>
      <c r="G21" s="395">
        <f>IF(ISNUMBER((Datos!L21-Datos!V21)/Datos!V21),(Datos!L21-Datos!V21)/Datos!V21," - ")</f>
        <v>0.17731958762886599</v>
      </c>
      <c r="H21" s="244">
        <f>IF(ISNUMBER((Datos!M21-Datos!W21)/Datos!W21),(Datos!M21-Datos!W21)/Datos!W21," - ")</f>
        <v>1.75</v>
      </c>
      <c r="I21" s="396">
        <f>IF(ISNUMBER((Tasas!C21-Datos!BE21)/Datos!BE21),(Tasas!C21-Datos!BE21)/Datos!BE21," - ")</f>
        <v>-0.50216200294550817</v>
      </c>
      <c r="J21" s="395">
        <f>IF(ISNUMBER((Tasas!D21-Datos!BF21)/Datos!BF21),(Tasas!D21-Datos!BF21)/Datos!BF21," - ")</f>
        <v>0.16285714285714284</v>
      </c>
      <c r="K21" s="397">
        <f>IF(ISNUMBER((Tasas!E21-Datos!BG21)/Datos!BG21),(Tasas!E21-Datos!BG21)/Datos!BG21," - ")</f>
        <v>-0.43568617429082551</v>
      </c>
    </row>
    <row r="22" spans="2:20" ht="15" thickBot="1">
      <c r="B22" s="300" t="s">
        <v>504</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4.8462929475587703E-2</v>
      </c>
      <c r="E23" s="400">
        <f>IF(ISNUMBER(
   IF(D_I="SI",(Datos!J23-Datos!T23)/Datos!T23,(Datos!J23+Datos!AD23-(Datos!T23+Datos!AL23))/(Datos!T23+Datos!AL23))
     ),IF(D_I="SI",(Datos!J23-Datos!T23)/Datos!T23,(Datos!J23+Datos!AD23-(Datos!T23+Datos!AL23))/(Datos!T23+Datos!AL23))," - ")</f>
        <v>2.4581005586592177E-2</v>
      </c>
      <c r="F23" s="400">
        <f>IF(ISNUMBER(
   IF(D_I="SI",(Datos!K23-Datos!U23)/Datos!U23,(Datos!K23+Datos!AE23-(Datos!U23+Datos!AM23))/(Datos!U23+Datos!AM23))
     ),IF(D_I="SI",(Datos!K23-Datos!U23)/Datos!U23,(Datos!K23+Datos!AE23-(Datos!U23+Datos!AM23))/(Datos!U23+Datos!AM23))," - ")</f>
        <v>6.5796937039137832E-2</v>
      </c>
      <c r="G23" s="401">
        <f>IF(ISNUMBER(
   IF(D_I="SI",(Datos!L23-Datos!V23)/Datos!V23,(Datos!L23+Datos!AF23-(Datos!V23+Datos!AN23))/(Datos!V23+Datos!AN23))
     ),IF(D_I="SI",(Datos!L23-Datos!V23)/Datos!V23,(Datos!L23+Datos!AF23-(Datos!V23+Datos!AN23))/(Datos!V23+Datos!AN23))," - ")</f>
        <v>2.2889842632331903E-2</v>
      </c>
      <c r="H23" s="402">
        <f>IF(ISNUMBER((Datos!M23-Datos!W23)/Datos!W23),(Datos!M23-Datos!W23)/Datos!W23," - ")</f>
        <v>0.35205992509363299</v>
      </c>
      <c r="I23" s="403">
        <f>IF(ISNUMBER((Tasas!C23-Datos!BE23)/Datos!BE23),(Tasas!C23-Datos!BE23)/Datos!BE23," - ")</f>
        <v>-4.0258226417881279E-2</v>
      </c>
      <c r="J23" s="401">
        <f>IF(ISNUMBER((Tasas!D23-Datos!BF23)/Datos!BF23),(Tasas!D23-Datos!BF23)/Datos!BF23," - ")</f>
        <v>0.26859055238960861</v>
      </c>
      <c r="K23" s="404">
        <f>IF(ISNUMBER((Tasas!E23-Datos!BG23)/Datos!BG23),(Tasas!E23-Datos!BG23)/Datos!BG23," - ")</f>
        <v>-2.5069504121175208E-2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8">
        <f>IF(ISNUMBER((Datos!I25-Datos!S25)/Datos!S25),(Datos!I25-Datos!S25)/Datos!S25," - ")</f>
        <v>-0.30239099859353025</v>
      </c>
      <c r="E25" s="394">
        <f>IF(ISNUMBER((Datos!J25-Datos!T25)/Datos!T25),(Datos!J25-Datos!T25)/Datos!T25," - ")</f>
        <v>-0.63101604278074863</v>
      </c>
      <c r="F25" s="394">
        <f>IF(ISNUMBER((Datos!K25-Datos!U25)/Datos!U25),(Datos!K25-Datos!U25)/Datos!U25," - ")</f>
        <v>-0.57170542635658916</v>
      </c>
      <c r="G25" s="395">
        <f>IF(ISNUMBER((Datos!L25-Datos!V25)/Datos!V25),(Datos!L25-Datos!V25)/Datos!V25," - ")</f>
        <v>-0.26876090750436299</v>
      </c>
      <c r="H25" s="244">
        <f>IF(ISNUMBER((Datos!M25-Datos!W25)/Datos!W25),(Datos!M25-Datos!W25)/Datos!W25," - ")</f>
        <v>-0.63666666666666671</v>
      </c>
      <c r="I25" s="396">
        <f>IF(ISNUMBER((Tasas!C25-Datos!BE25)/Datos!BE25),(Tasas!C25-Datos!BE25)/Datos!BE25," - ")</f>
        <v>0.70732747388121575</v>
      </c>
      <c r="J25" s="395">
        <f>IF(ISNUMBER((Tasas!D25-Datos!BF25)/Datos!BF25),(Tasas!D25-Datos!BF25)/Datos!BF25," - ")</f>
        <v>-0.15167420814479637</v>
      </c>
      <c r="K25" s="397">
        <f>IF(ISNUMBER((Tasas!E25-Datos!BG25)/Datos!BG25),(Tasas!E25-Datos!BG25)/Datos!BG25," - ")</f>
        <v>0.36432220530892245</v>
      </c>
    </row>
    <row r="26" spans="2:20" ht="16.5" hidden="1" thickTop="1" thickBot="1">
      <c r="B26" s="191"/>
      <c r="C26" s="75" t="str">
        <f>Datos!A26</f>
        <v>TOTAL</v>
      </c>
      <c r="D26" s="399">
        <f>IF(ISNUMBER((Datos!I26-Datos!S26)/Datos!S26),(Datos!I26-Datos!S26)/Datos!S26," - ")</f>
        <v>-0.30239099859353025</v>
      </c>
      <c r="E26" s="400">
        <f>IF(ISNUMBER((Datos!J26-Datos!T26)/Datos!T26),(Datos!J26-Datos!T26)/Datos!T26," - ")</f>
        <v>-0.63101604278074863</v>
      </c>
      <c r="F26" s="400">
        <f>IF(ISNUMBER((Datos!K26-Datos!U26)/Datos!U26),(Datos!K26-Datos!U26)/Datos!U26," - ")</f>
        <v>-0.57170542635658916</v>
      </c>
      <c r="G26" s="401">
        <f>IF(ISNUMBER((Datos!L26-Datos!V26)/Datos!V26),(Datos!L26-Datos!V26)/Datos!V26," - ")</f>
        <v>-0.26876090750436299</v>
      </c>
      <c r="H26" s="402">
        <f>IF(ISNUMBER((Datos!M26-Datos!W26)/Datos!W26),(Datos!M26-Datos!W26)/Datos!W26," - ")</f>
        <v>-0.63666666666666671</v>
      </c>
      <c r="I26" s="403">
        <f>IF(ISNUMBER((Tasas!C26-Datos!BE26)/Datos!BE26),(Tasas!C26-Datos!BE26)/Datos!BE26," - ")</f>
        <v>0.70732747388121575</v>
      </c>
      <c r="J26" s="401">
        <f>IF(ISNUMBER((Tasas!D26-Datos!BF26)/Datos!BF26),(Tasas!D26-Datos!BF26)/Datos!BF26," - ")</f>
        <v>-0.15167420814479637</v>
      </c>
      <c r="K26" s="404">
        <f>IF(ISNUMBER((Tasas!E26-Datos!BG26)/Datos!BG26),(Tasas!E26-Datos!BG26)/Datos!BG26," - ")</f>
        <v>0.36432220530892245</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8">
        <f>IF(ISNUMBER((Datos!I28-Datos!S28)/Datos!S28),(Datos!I28-Datos!S28)/Datos!S28," - ")</f>
        <v>0.78643216080402012</v>
      </c>
      <c r="E28" s="394">
        <f>IF(ISNUMBER((Datos!J28-Datos!T28)/Datos!T28),(Datos!J28-Datos!T28)/Datos!T28," - ")</f>
        <v>-0.21982758620689655</v>
      </c>
      <c r="F28" s="394">
        <f>IF(ISNUMBER((Datos!K28-Datos!U28)/Datos!U28),(Datos!K28-Datos!U28)/Datos!U28," - ")</f>
        <v>-2.5316455696202531E-2</v>
      </c>
      <c r="G28" s="395">
        <f>IF(ISNUMBER((Datos!L28-Datos!V28)/Datos!V28),(Datos!L28-Datos!V28)/Datos!V28," - ")</f>
        <v>0.44283121597096187</v>
      </c>
      <c r="H28" s="244">
        <f>IF(ISNUMBER((Datos!M28-Datos!W28)/Datos!W28),(Datos!M28-Datos!W28)/Datos!W28," - ")</f>
        <v>-0.1891891891891892</v>
      </c>
      <c r="I28" s="396">
        <f>IF(ISNUMBER((Tasas!C28-Datos!BE28)/Datos!BE28),(Tasas!C28-Datos!BE28)/Datos!BE28," - ")</f>
        <v>0.48030735145072706</v>
      </c>
      <c r="J28" s="395">
        <f>IF(ISNUMBER((Tasas!D28-Datos!BF28)/Datos!BF28),(Tasas!D28-Datos!BF28)/Datos!BF28," - ")</f>
        <v>-0.16812916812916809</v>
      </c>
      <c r="K28" s="397">
        <f>IF(ISNUMBER((Tasas!E28-Datos!BG28)/Datos!BG28),(Tasas!E28-Datos!BG28)/Datos!BG28," - ")</f>
        <v>0.45264893836322406</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0.78643216080402012</v>
      </c>
      <c r="E30" s="1112">
        <f>IF(ISNUMBER((Datos!J30-Datos!T30)/Datos!T30),(Datos!J30-Datos!T30)/Datos!T30," - ")</f>
        <v>-0.21982758620689655</v>
      </c>
      <c r="F30" s="1112">
        <f>IF(ISNUMBER((Datos!K30-Datos!U30)/Datos!U30),(Datos!K30-Datos!U30)/Datos!U30," - ")</f>
        <v>-2.5316455696202531E-2</v>
      </c>
      <c r="G30" s="1113">
        <f>IF(ISNUMBER((Datos!L30-Datos!V30)/Datos!V30),(Datos!L30-Datos!V30)/Datos!V30," - ")</f>
        <v>0.44283121597096187</v>
      </c>
      <c r="H30" s="1114">
        <f>IF(ISNUMBER((Datos!M30-Datos!W30)/Datos!W30),(Datos!M30-Datos!W30)/Datos!W30," - ")</f>
        <v>-0.1891891891891892</v>
      </c>
      <c r="I30" s="1115">
        <f>IF(ISNUMBER((Tasas!C30-Datos!BE30)/Datos!BE30),(Tasas!C30-Datos!BE30)/Datos!BE30," - ")</f>
        <v>0.48030735145072706</v>
      </c>
      <c r="J30" s="1113">
        <f>IF(ISNUMBER((Tasas!D30-Datos!BF30)/Datos!BF30),(Tasas!D30-Datos!BF30)/Datos!BF30," - ")</f>
        <v>-0.16812916812916809</v>
      </c>
      <c r="K30" s="1116">
        <f>IF(ISNUMBER((Tasas!E30-Datos!BG30)/Datos!BG30),(Tasas!E30-Datos!BG30)/Datos!BG30," - ")</f>
        <v>0.45264893836322406</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5.7745187901008251E-2</v>
      </c>
      <c r="E31" s="410">
        <f>IF(ISNUMBER(
   IF(J_V="SI",(Datos!J31-Datos!T31)/Datos!T31,(Datos!J31+Datos!Z31-(Datos!T31+Datos!AH31))/(Datos!T31+Datos!AH31))
     ),IF(J_V="SI",(Datos!J31-Datos!T31)/Datos!T31,(Datos!J31+Datos!Z31-(Datos!T31+Datos!AH31))/(Datos!T31+Datos!AH31))," - ")</f>
        <v>-8.1652257444764648E-2</v>
      </c>
      <c r="F31" s="410">
        <f>IF(ISNUMBER(
   IF(J_V="SI",(Datos!K31-Datos!U31)/Datos!U31,(Datos!K31+Datos!AA31-(Datos!U31+Datos!AI31))/(Datos!U31+Datos!AI31))
     ),IF(J_V="SI",(Datos!K31-Datos!U31)/Datos!U31,(Datos!K31+Datos!AA31-(Datos!U31+Datos!AI31))/(Datos!U31+Datos!AI31))," - ")</f>
        <v>-7.3346430910281604E-2</v>
      </c>
      <c r="G31" s="411">
        <f>IF(ISNUMBER(
   IF(J_V="SI",(Datos!L31-Datos!V31)/Datos!V31,(Datos!L31+Datos!AB31-(Datos!V31+Datos!AJ31))/(Datos!V31+Datos!AJ31))
     ),IF(J_V="SI",(Datos!L31-Datos!V31)/Datos!V31,(Datos!L31+Datos!AB31-(Datos!V31+Datos!AJ31))/(Datos!V31+Datos!AJ31))," - ")</f>
        <v>6.1279826464208244E-2</v>
      </c>
      <c r="H31" s="412">
        <f>IF(ISNUMBER((Datos!M31-Datos!W31)/Datos!W31),(Datos!M31-Datos!W31)/Datos!W31," - ")</f>
        <v>-0.17062937062937064</v>
      </c>
      <c r="I31" s="409">
        <f>IF(ISNUMBER((Tasas!C31-Datos!BE31)/Datos!BE31),(Tasas!C31-Datos!BE31)/Datos!BE31," - ")</f>
        <v>0.14528218728681699</v>
      </c>
      <c r="J31" s="410">
        <f>IF(ISNUMBER((Tasas!D31-Datos!BF31)/Datos!BF31),(Tasas!D31-Datos!BF31)/Datos!BF31," - ")</f>
        <v>-0.22899144280301417</v>
      </c>
      <c r="K31" s="411">
        <f>IF(ISNUMBER((Tasas!E31-Datos!BG31)/Datos!BG31),(Tasas!E31-Datos!BG31)/Datos!BG31," - ")</f>
        <v>8.6700220055083821E-2</v>
      </c>
    </row>
    <row r="32" spans="2:20" ht="15.75" customHeight="1" thickTop="1" thickBot="1">
      <c r="B32" s="180"/>
      <c r="C32" s="1105" t="s">
        <v>334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335</v>
      </c>
      <c r="D33" s="302">
        <f t="shared" ref="D33:K33" si="1">IF(ISNUMBER( STDEV(D8:D30)),STDEV(D8:D30)," - ")</f>
        <v>0.42033572638625605</v>
      </c>
      <c r="E33" s="303">
        <f t="shared" si="1"/>
        <v>0.31570263203253029</v>
      </c>
      <c r="F33" s="303">
        <f t="shared" si="1"/>
        <v>0.54447696890529951</v>
      </c>
      <c r="G33" s="304">
        <f t="shared" si="1"/>
        <v>0.41425987910970485</v>
      </c>
      <c r="H33" s="310">
        <f t="shared" si="1"/>
        <v>0.61556960179249787</v>
      </c>
      <c r="I33" s="302">
        <f t="shared" si="1"/>
        <v>0.47910555910971436</v>
      </c>
      <c r="J33" s="303">
        <f t="shared" si="1"/>
        <v>0.31389040419190123</v>
      </c>
      <c r="K33" s="304">
        <f t="shared" si="1"/>
        <v>0.2995217064855164</v>
      </c>
    </row>
    <row r="34" spans="2:13" ht="13.5" thickTop="1">
      <c r="C34" s="1662"/>
      <c r="D34" s="1662"/>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25 nov. 2021</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5EHxhl3K2i+YXzGMuXr3IXUjNE8yWecWC6zg+rADZYIuWNAGr+TzBurK+Glr5llgiA2IKE6ywa37mQdZVla9Q==" saltValue="ggs09GjPZjoJZYVRLYR4l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2021-11-25T17:19:38Z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